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rick.monteiro_suno\Downloads\"/>
    </mc:Choice>
  </mc:AlternateContent>
  <xr:revisionPtr revIDLastSave="0" documentId="13_ncr:1_{0B4FBC18-3E1F-4E6C-99A8-31CC9203F2CF}" xr6:coauthVersionLast="47" xr6:coauthVersionMax="47" xr10:uidLastSave="{00000000-0000-0000-0000-000000000000}"/>
  <bookViews>
    <workbookView xWindow="-108" yWindow="-108" windowWidth="23256" windowHeight="12456" tabRatio="819" xr2:uid="{10100E7C-BD36-4002-9A36-EF6463860484}"/>
  </bookViews>
  <sheets>
    <sheet name="Instruções" sheetId="12" r:id="rId1"/>
    <sheet name="1 - Informações Básicas" sheetId="10" r:id="rId2"/>
    <sheet name="2 - Gráficos" sheetId="1" r:id="rId3"/>
    <sheet name="Apoio" sheetId="3" state="hidden" r:id="rId4"/>
    <sheet name="Apoio_ Suitability" sheetId="8" state="hidden" r:id="rId5"/>
    <sheet name="Apoio_Carteira" sheetId="9" state="hidden" r:id="rId6"/>
    <sheet name="3 - Premissas" sheetId="6" r:id="rId7"/>
    <sheet name="4 - Glossário" sheetId="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D11" i="10"/>
  <c r="D12" i="10"/>
  <c r="D13" i="10"/>
  <c r="D14" i="10"/>
  <c r="D15" i="10"/>
  <c r="D16" i="10"/>
  <c r="C17" i="10"/>
  <c r="D17" i="10" s="1"/>
  <c r="D18" i="10"/>
  <c r="D19" i="10"/>
  <c r="D20" i="10"/>
  <c r="D21" i="10"/>
  <c r="D22" i="10"/>
  <c r="D23" i="10"/>
  <c r="C24" i="10"/>
  <c r="D24" i="10" s="1"/>
  <c r="D25" i="10"/>
  <c r="D26" i="10"/>
  <c r="D27" i="10"/>
  <c r="D28" i="10"/>
  <c r="D29" i="10"/>
  <c r="D30" i="10"/>
  <c r="D31" i="10"/>
  <c r="D32" i="10"/>
  <c r="D33" i="10"/>
  <c r="D34" i="10"/>
  <c r="D8" i="9"/>
  <c r="E8" i="9"/>
  <c r="F8" i="9"/>
  <c r="G8" i="9"/>
  <c r="C8" i="9"/>
  <c r="D35" i="10" l="1"/>
  <c r="C35" i="10" s="1"/>
  <c r="C10" i="9" l="1"/>
  <c r="C15" i="9" s="1"/>
  <c r="C23" i="1"/>
  <c r="C24" i="1" s="1"/>
  <c r="B11" i="3"/>
  <c r="B15" i="3"/>
  <c r="B16" i="3" s="1"/>
  <c r="C10" i="1" s="1"/>
  <c r="B9" i="3"/>
  <c r="B8" i="3"/>
  <c r="J5" i="1"/>
  <c r="B12" i="3" s="1"/>
  <c r="C13" i="9" l="1"/>
  <c r="C14" i="9"/>
  <c r="C12" i="9"/>
  <c r="C18" i="3"/>
  <c r="B20" i="3"/>
  <c r="C14" i="1" s="1"/>
  <c r="B13" i="3"/>
  <c r="B18" i="3" s="1"/>
  <c r="F9" i="3"/>
  <c r="G9" i="3" s="1"/>
  <c r="B10" i="3"/>
  <c r="C7" i="1"/>
  <c r="C8" i="1" s="1"/>
  <c r="E23" i="3" l="1"/>
  <c r="C13" i="1"/>
  <c r="C9" i="1" s="1"/>
  <c r="C11" i="1"/>
  <c r="E22" i="3"/>
  <c r="B22" i="3" l="1"/>
  <c r="B19" i="3"/>
  <c r="B25" i="3" s="1"/>
  <c r="C12" i="1" s="1"/>
  <c r="I9" i="3"/>
  <c r="L9" i="3" s="1"/>
  <c r="F17" i="3"/>
  <c r="G17" i="3" s="1"/>
  <c r="J9" i="3" l="1"/>
  <c r="H9" i="3" s="1"/>
  <c r="B23" i="3"/>
  <c r="B24" i="3" s="1"/>
  <c r="E17" i="3"/>
  <c r="E10" i="3" s="1"/>
  <c r="F10" i="3" s="1"/>
  <c r="I10" i="3" s="1"/>
  <c r="L10" i="3" s="1"/>
  <c r="I17" i="3"/>
  <c r="L17" i="3" s="1"/>
  <c r="J17" i="3" l="1"/>
  <c r="H17" i="3" s="1"/>
  <c r="J10" i="3"/>
  <c r="H10" i="3" s="1"/>
  <c r="G10" i="3"/>
  <c r="E18" i="3"/>
  <c r="F18" i="3" s="1"/>
  <c r="I18" i="3" s="1"/>
  <c r="L18" i="3" s="1"/>
  <c r="E11" i="3"/>
  <c r="F11" i="3" s="1"/>
  <c r="G11" i="3" s="1"/>
  <c r="D11" i="3"/>
  <c r="J18" i="3" l="1"/>
  <c r="H18" i="3" s="1"/>
  <c r="G18" i="3"/>
  <c r="E12" i="3"/>
  <c r="E13" i="3" s="1"/>
  <c r="F13" i="3" s="1"/>
  <c r="I13" i="3" s="1"/>
  <c r="L13" i="3" s="1"/>
  <c r="I11" i="3"/>
  <c r="L11" i="3" s="1"/>
  <c r="J13" i="3" l="1"/>
  <c r="H13" i="3" s="1"/>
  <c r="J11" i="3"/>
  <c r="H11" i="3" s="1"/>
  <c r="F12" i="3"/>
  <c r="I12" i="3" s="1"/>
  <c r="L12" i="3" s="1"/>
  <c r="E14" i="3"/>
  <c r="F14" i="3" s="1"/>
  <c r="I14" i="3" s="1"/>
  <c r="L14" i="3" s="1"/>
  <c r="G13" i="3"/>
  <c r="J14" i="3" l="1"/>
  <c r="H14" i="3" s="1"/>
  <c r="J12" i="3"/>
  <c r="H12" i="3" s="1"/>
  <c r="G12" i="3"/>
  <c r="E15" i="3"/>
  <c r="E16" i="3" s="1"/>
  <c r="F16" i="3" s="1"/>
  <c r="I16" i="3" s="1"/>
  <c r="L16" i="3" s="1"/>
  <c r="G14" i="3"/>
  <c r="J16" i="3" l="1"/>
  <c r="H16" i="3" s="1"/>
  <c r="G16" i="3"/>
  <c r="F15" i="3"/>
  <c r="I15" i="3" s="1"/>
  <c r="L15" i="3" s="1"/>
  <c r="J15" i="3" l="1"/>
  <c r="H15" i="3" s="1"/>
  <c r="G15" i="3"/>
  <c r="C11" i="9"/>
</calcChain>
</file>

<file path=xl/sharedStrings.xml><?xml version="1.0" encoding="utf-8"?>
<sst xmlns="http://schemas.openxmlformats.org/spreadsheetml/2006/main" count="218" uniqueCount="143">
  <si>
    <t>Premissas</t>
  </si>
  <si>
    <t>Perfil</t>
  </si>
  <si>
    <t>Idade</t>
  </si>
  <si>
    <t>Renda ao aposentar</t>
  </si>
  <si>
    <t>Renda hoje</t>
  </si>
  <si>
    <t>% Meta</t>
  </si>
  <si>
    <t>Aporte necessário</t>
  </si>
  <si>
    <t>Patrimônio necessário</t>
  </si>
  <si>
    <t>Idade atingimento</t>
  </si>
  <si>
    <t>Retorno</t>
  </si>
  <si>
    <t>Yield</t>
  </si>
  <si>
    <t>Conservador</t>
  </si>
  <si>
    <t>Moderado</t>
  </si>
  <si>
    <t>Dinâmico</t>
  </si>
  <si>
    <t>Arrojado</t>
  </si>
  <si>
    <t>Sofisticado</t>
  </si>
  <si>
    <t>Capital ao aposentar</t>
  </si>
  <si>
    <t>Data base</t>
  </si>
  <si>
    <t>Data aposentadoria</t>
  </si>
  <si>
    <t>Dias até a aposentadoria</t>
  </si>
  <si>
    <t>PMT Diário</t>
  </si>
  <si>
    <t>Retorno a.d.</t>
  </si>
  <si>
    <t>Yield a.a. perfil</t>
  </si>
  <si>
    <t>Yield a.m. perfil</t>
  </si>
  <si>
    <t>Data atingimento</t>
  </si>
  <si>
    <t>Data</t>
  </si>
  <si>
    <t>Anos</t>
  </si>
  <si>
    <t>Meta</t>
  </si>
  <si>
    <t>Patrimônio</t>
  </si>
  <si>
    <t>Rentabilidade necessária</t>
  </si>
  <si>
    <t>Retorno Projetado a.a.</t>
  </si>
  <si>
    <t>Retorno a.m.</t>
  </si>
  <si>
    <t>Taxa necessária a.m.</t>
  </si>
  <si>
    <t>Datadif Y</t>
  </si>
  <si>
    <t>Datadif M</t>
  </si>
  <si>
    <t>Renda Hoje</t>
  </si>
  <si>
    <t>Glossário</t>
  </si>
  <si>
    <t>Patrimônio atual multiplicado pelo Yield (rendimento) correspondente ao perfil selecionado. Indica o potencial de geração de renda passiva proveniente dos seus investimentos.</t>
  </si>
  <si>
    <t>Yield do patrimônio acumulado na aposentadoria considerando as premissas informadas (aporte, patrimônio atual e perfil).</t>
  </si>
  <si>
    <t>Patrimônio necessário para proporcionar a renda meta informada, considerando o Yield correspondente ao perfil.</t>
  </si>
  <si>
    <t>Aporte mensal necessário para atingir o patrimônio que proporcionaria a renda meta considerando as premissas informadas (idade de aposentadoria, patrimônio atual e perfil).</t>
  </si>
  <si>
    <t>Idade ao atingir o patrimônio que proporcionaria a renda meta considerando as premissas informadas (patrimônio atual, aporte mensal e perfil).</t>
  </si>
  <si>
    <t>Patrimônio acumulado na aposentadoria considerando as premissas informadas (aporte, patrimônio atual, perfil e idade de aposentadoria).</t>
  </si>
  <si>
    <t>Percentual já atingido da meta de renda passiva: renda hoje dividida pela renda meta.</t>
  </si>
  <si>
    <t>Descrição</t>
  </si>
  <si>
    <t>Yield Projetado</t>
  </si>
  <si>
    <t>Os números apresentados se baseiam nas respostas ao questionário e em projeções de mercado. Tais dados não devem ser tratados como promessa de rentabilidade. As taxas de capitalização e rendimento (yield) são calculadas de acordo com o perfil de risco informado, com base na tolerância a risco do investidor.</t>
  </si>
  <si>
    <t>Retorno real Projetado</t>
  </si>
  <si>
    <t>Rentabilidade real necessária para atingir o patrimônio que proporcionaria a renda meta considerando as premissas informadas (aporte, patrimônio atual e idade de aposentadoria).</t>
  </si>
  <si>
    <t>Idade 2</t>
  </si>
  <si>
    <t xml:space="preserve">Coloque o seu plano em prática com o apoio de um Consultor da Suno Consultoria. 
Clique no botão abaixo para agendar uma reunião com o nosso time de especialistas. </t>
  </si>
  <si>
    <t xml:space="preserve">Quero agendar uma reunião! </t>
  </si>
  <si>
    <t>Como você reagiria se os seus investimentos apresentassem uma desvalorização rápida e repentina (mesmo que temporariamente)?</t>
  </si>
  <si>
    <t>Qual parcela de seus investimentos pretende resgatar nos próximos 12 meses?</t>
  </si>
  <si>
    <t>Qual das frases abaixo expressa melhor o seu nível de conhecimento sobre o mercado financeiro e seus produtos?</t>
  </si>
  <si>
    <t>Aproveitaria a queda e investiria mais, aumentando minha posição e aproveitando os descontos.</t>
  </si>
  <si>
    <t>Venderia meus investimentos e aplicaria em algo mais seguro.</t>
  </si>
  <si>
    <t>Não faria nada. Aguardava o cenário de instabilidade passar para tomar alguma decisão.</t>
  </si>
  <si>
    <t>1 - Por quanto tempo deseja manter seus investimentos?</t>
  </si>
  <si>
    <t>Até 1 ano</t>
  </si>
  <si>
    <t>De 1 a 3 anos</t>
  </si>
  <si>
    <t>De 4 a 10 anos</t>
  </si>
  <si>
    <t>Acima de 10 anos</t>
  </si>
  <si>
    <t>2 - Como você reagiria se os seus investimentos apresentassem uma desvalorização rápida e repentina (mesmo que temporariamente)?</t>
  </si>
  <si>
    <t>3  - Qual das alternativas abaixo define melhor seu objetivo de investimento?</t>
  </si>
  <si>
    <t xml:space="preserve">Conservar meu capital sem sofrer ﬂutuações negativas nos meus investimentos, mesmo em períodos curtos (1 mês). </t>
  </si>
  <si>
    <t>Utilizar meu patrimônio para gerar renda e utiliza-la neste momento.</t>
  </si>
  <si>
    <t>Com a expectativa de superar de forma signiﬁcativa o CDI, admito ﬂutuações negativas dos meus investimentos; porém, entendo que devem ser recuperadas em até 12 meses.</t>
  </si>
  <si>
    <t>Busco retornos elevados e admito ﬂutuações negativas dos meus investimentos em períodos superiores a 12 meses.</t>
  </si>
  <si>
    <t>4 - Quantos porcento de sua renda mensal você economiza em média?</t>
  </si>
  <si>
    <t>Não economizo nada</t>
  </si>
  <si>
    <t>Até 10%</t>
  </si>
  <si>
    <t>De 10% a 30%</t>
  </si>
  <si>
    <t>Mais de 30%</t>
  </si>
  <si>
    <t>Entendo que não preciso mais poupar, pois meu patrimônio é mais que suficiente para cobrir minhas despesas futuras</t>
  </si>
  <si>
    <t>5 - Qual o valor do seu patrimônio financeiro?</t>
  </si>
  <si>
    <t>Ainda não possuo patrimônio financeiro acumulado</t>
  </si>
  <si>
    <t>Até R$ 300.000,00</t>
  </si>
  <si>
    <t>De R$ 300.000,00 a R$ 1.000.000,00</t>
  </si>
  <si>
    <t>De R$ 1.000.000,00 a R$ 10.000.000,00</t>
  </si>
  <si>
    <t>Acima de R$ 10.000.000,00</t>
  </si>
  <si>
    <t>6 - Qual parcela de seus investimentos pretende resgatar nos próximos 12 meses?</t>
  </si>
  <si>
    <t>0 a 20%</t>
  </si>
  <si>
    <t>21% a 50%</t>
  </si>
  <si>
    <t>mais de 50%</t>
  </si>
  <si>
    <t>7 - Com quais destes investimentos possui familiaridade?</t>
  </si>
  <si>
    <t>Não possuo experiência com investimentos e/ ou investi apenas na poupança</t>
  </si>
  <si>
    <t>Títulos de renda fixa, tais como CDBs, fundos de investimentos de Renda Fixa e Títulos Públicos.</t>
  </si>
  <si>
    <t>Fundos de Investimentos de outras classes e Previdência Privada</t>
  </si>
  <si>
    <t>Ações e/ou Fundos Imobiliários</t>
  </si>
  <si>
    <t>Derivativos</t>
  </si>
  <si>
    <t>Ativos no Exterior</t>
  </si>
  <si>
    <t>8 - Você investiu em algum destes ativos nos últimos 12 meses? Se sim, qual montante aproximado?</t>
  </si>
  <si>
    <t>Imóveis</t>
  </si>
  <si>
    <t>Poupança</t>
  </si>
  <si>
    <t>Ações</t>
  </si>
  <si>
    <t>Renda Fixa</t>
  </si>
  <si>
    <t>Fundos de Investimento</t>
  </si>
  <si>
    <t>FIIs</t>
  </si>
  <si>
    <t>Previdência Privada</t>
  </si>
  <si>
    <t>Investimentos no Exterior</t>
  </si>
  <si>
    <t>Nenhum</t>
  </si>
  <si>
    <t>9 - Qual das frases abaixo expressa melhor o seu nível de conhecimento sobre o mercado financeiro e seus produtos?</t>
  </si>
  <si>
    <t>Possuo pouco ou nenhum conhecimento e  não acompanho o mercado financeiro</t>
  </si>
  <si>
    <t>Possuo algum conhecimento e acompanho eventualmente o mercado financeiro</t>
  </si>
  <si>
    <t>Possuo conhecimento sobre os principais produtos de investimentos e acompanho o mercado financeiro e/ou possuo formação acadêmica relacionada à investimentos em geral</t>
  </si>
  <si>
    <t>Trabalho ou já trabalhei no mercado financeiro</t>
  </si>
  <si>
    <t>Por quanto tempo deseja manter seus investimentos?</t>
  </si>
  <si>
    <t>Qual das alternativas abaixo define melhor seu objetivo de investimento?</t>
  </si>
  <si>
    <t>Qual o valor do seu patrimônio financeiro?</t>
  </si>
  <si>
    <t>Pontuação máxima</t>
  </si>
  <si>
    <t>Com quais destes investimentos possui familiaridade?</t>
  </si>
  <si>
    <t>x</t>
  </si>
  <si>
    <t>Classe de Ativo</t>
  </si>
  <si>
    <t>Renda Fixa - Pós</t>
  </si>
  <si>
    <t>Fundos Multimercados</t>
  </si>
  <si>
    <t>Fundos Imobiliários</t>
  </si>
  <si>
    <t>Ações Nacionais</t>
  </si>
  <si>
    <t>Ações Internacionais</t>
  </si>
  <si>
    <t>Quantos porcento de sua renda mensal você economiza em média?</t>
  </si>
  <si>
    <t>Investidor que aceita um potencial de retorno menor em função do seu objetivo principal, que é conservar seu patrimônio. Por conta disso, geralmente não apresenta tolerância às oscilações do mercado em seus ativos.</t>
  </si>
  <si>
    <t>Investidor que geralmente opta por produtos mais líquidos, reconhecendo a necessidade de diversificar melhor seu patrimônio, caminhando um pouco mais para o lado da exposição à renda variável. No entanto, ainda é um perfil que apresenta baixa tolerância à volatilidade.</t>
  </si>
  <si>
    <t>Investidor que gosta de diversificar seu patrimônio e já possui um certo apreço pela renda variável. Busca maiores potenciais de retorno, tolerando oscilações mais acentuadas na parte de renda variável do seu portfólio. No entanto, ainda investe uma parte relevante de seu patrimônio em ativos de renda fixa, que lhe proporcionam uma tranquilidade maior num contexto geral de sua carteira.</t>
  </si>
  <si>
    <t>Investidor que busca um grande potencial de retorno, tem alta tolerância à volatilidade das cotações dos ativos que compõem seu portfólio, pois conhece bem os ativos que estão ali dentro e sabe que a oscilação dos preços permite que ele compre bons ativos a preços descontados. Ainda assim, é um investidor que abre mão deste potencial de retorno em uma parcela razoável do seu patrimônio para preservá-lo.</t>
  </si>
  <si>
    <t>Investidor que se expõe majoritariamente à renda variável em busca do máximo potencial de retorno. Este investidor tolera quedas significativas por prazos longos, pois conhece seus ativos e é capaz de entender a qualidade dos fundamentos de cada um deles a qualquer momento. Geralmente, tem um conhecimento mais vasto acerca do mercado.</t>
  </si>
  <si>
    <t>Descrição:</t>
  </si>
  <si>
    <t>Instruções</t>
  </si>
  <si>
    <t>Bem-vindo(a)! Esta planilha foi desenvolvida para ajudá-lo(a) a simular sua renda passiva e planejar sua aposentadoria com base em seu perfil de investidor. Siga os passos abaixo para preenchê-la corretamente:</t>
  </si>
  <si>
    <t>Aba 1 - Informações Básicas</t>
  </si>
  <si>
    <t>Aba 2 - Gráfico</t>
  </si>
  <si>
    <t>Aba 3 - Premissas</t>
  </si>
  <si>
    <t>Aba 4 - Glossário</t>
  </si>
  <si>
    <t>Esta é a seção principal onde você fornece os dados necessários para o planejamento da sua aposentadoria. Aqui, você informa:
      A)  Sua situação atual: data de nascimento, quanto tem guardado hoje e quanto consegue guardar por mês.
      B) Seus objetivos: idade em que deseja parar de trabalhar e quanto quer receber mensalmente na aposentadoria.
      C) Seu perfil: como reagiria a quedas no mercado (ex: venderia tudo ou investiria mais?) e quais tipos de investimentos já conhece (como ações ou poupança).</t>
  </si>
  <si>
    <t>Com as informações preenchidas na aba 1,  a aba 2 calcula automaticamente quanto você precisa acumular, mostrando se seus aportes mensais são suficientes para atingir o seu objetivoa e apresenta uma carteira sugerida compatível com seu perfil.</t>
  </si>
  <si>
    <t>Nessa aba, são apresendadas as premissas descritas para cada perfil, além do retorno real e yield projetados</t>
  </si>
  <si>
    <t>Descrição dos termos citados nessa planilha.</t>
  </si>
  <si>
    <t>Informações Básicas</t>
  </si>
  <si>
    <t>Data de nascimento. Ex: 15/01/1999</t>
  </si>
  <si>
    <t>Patrimônio atual (Excluindo bens como imóveis, carros, etc) Ex: R$500.000</t>
  </si>
  <si>
    <t>Aporte mensal. Ex: R$10.000</t>
  </si>
  <si>
    <t>Idade aposentadoria. (Apenas números)</t>
  </si>
  <si>
    <t>Renda desejada. Ex: R$1.000.000</t>
  </si>
  <si>
    <t>Você investiu em algum destes ativos nos últimos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</si>
</sst>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R$&quot;\ #,##0;\-&quot;R$&quot;\ #,##0"/>
    <numFmt numFmtId="44" formatCode="_-&quot;R$&quot;\ * #,##0.00_-;\-&quot;R$&quot;\ * #,##0.00_-;_-&quot;R$&quot;\ * &quot;-&quot;??_-;_-@_-"/>
    <numFmt numFmtId="43" formatCode="_-* #,##0.00_-;\-* #,##0.00_-;_-* &quot;-&quot;??_-;_-@_-"/>
    <numFmt numFmtId="164" formatCode="_-* #,##0_-;\-* #,##0_-;_-* &quot;-&quot;??_-;_-@_-"/>
    <numFmt numFmtId="165" formatCode="#,##0_ ;\-#,##0\ "/>
    <numFmt numFmtId="166" formatCode="#,##0.00_ ;\-#,##0.00\ "/>
    <numFmt numFmtId="167" formatCode="0.0000"/>
  </numFmts>
  <fonts count="15" x14ac:knownFonts="1">
    <font>
      <sz val="10"/>
      <color theme="1"/>
      <name val="Montserrat"/>
      <family val="2"/>
    </font>
    <font>
      <sz val="10"/>
      <color theme="1"/>
      <name val="Montserrat"/>
      <family val="2"/>
    </font>
    <font>
      <sz val="10"/>
      <color theme="0"/>
      <name val="Montserrat SemiBold"/>
    </font>
    <font>
      <sz val="10"/>
      <color theme="1"/>
      <name val="Montserrat SemiBold"/>
    </font>
    <font>
      <sz val="8"/>
      <color theme="1" tint="0.249977111117893"/>
      <name val="Montserrat"/>
      <family val="2"/>
    </font>
    <font>
      <sz val="10"/>
      <color theme="1" tint="0.249977111117893"/>
      <name val="Montserrat"/>
      <family val="2"/>
    </font>
    <font>
      <sz val="10"/>
      <color theme="1" tint="0.249977111117893"/>
      <name val="Montserrat SemiBold"/>
    </font>
    <font>
      <b/>
      <sz val="12"/>
      <color theme="0"/>
      <name val="Montserrat"/>
    </font>
    <font>
      <u/>
      <sz val="10"/>
      <color theme="10"/>
      <name val="Montserrat"/>
      <family val="2"/>
    </font>
    <font>
      <b/>
      <sz val="10"/>
      <color theme="1"/>
      <name val="Montserrat"/>
    </font>
    <font>
      <sz val="12"/>
      <color theme="0"/>
      <name val="Montserrat"/>
      <family val="2"/>
    </font>
    <font>
      <b/>
      <sz val="10"/>
      <color theme="0"/>
      <name val="Montserrat"/>
    </font>
    <font>
      <sz val="10"/>
      <color theme="2"/>
      <name val="Montserrat"/>
      <family val="2"/>
    </font>
    <font>
      <sz val="10"/>
      <color theme="1"/>
      <name val="Montserrat"/>
    </font>
    <font>
      <b/>
      <u/>
      <sz val="16"/>
      <color theme="0"/>
      <name val="Montserrat"/>
    </font>
  </fonts>
  <fills count="12">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gradientFill degree="180">
        <stop position="0">
          <color theme="1" tint="0.25098422193060094"/>
        </stop>
        <stop position="1">
          <color theme="0" tint="-0.1490218817712943"/>
        </stop>
      </gradientFill>
    </fill>
    <fill>
      <patternFill patternType="solid">
        <fgColor theme="2" tint="-0.499984740745262"/>
        <bgColor indexed="64"/>
      </patternFill>
    </fill>
    <fill>
      <patternFill patternType="solid">
        <fgColor theme="2"/>
        <bgColor indexed="64"/>
      </patternFill>
    </fill>
    <fill>
      <patternFill patternType="solid">
        <fgColor theme="0" tint="-0.14999847407452621"/>
        <bgColor indexed="64"/>
      </patternFill>
    </fill>
    <fill>
      <patternFill patternType="solid">
        <fgColor rgb="FF067A19"/>
        <bgColor indexed="64"/>
      </patternFill>
    </fill>
    <fill>
      <patternFill patternType="solid">
        <fgColor rgb="FFB5B3B3"/>
        <bgColor indexed="64"/>
      </patternFill>
    </fill>
    <fill>
      <patternFill patternType="solid">
        <fgColor theme="3" tint="-0.499984740745262"/>
        <bgColor indexed="64"/>
      </patternFill>
    </fill>
    <fill>
      <patternFill patternType="solid">
        <fgColor theme="0" tint="-0.249977111117893"/>
        <bgColor indexed="64"/>
      </patternFill>
    </fill>
  </fills>
  <borders count="19">
    <border>
      <left/>
      <right/>
      <top/>
      <bottom/>
      <diagonal/>
    </border>
    <border>
      <left/>
      <right/>
      <top/>
      <bottom style="thin">
        <color theme="0"/>
      </bottom>
      <diagonal/>
    </border>
    <border>
      <left/>
      <right/>
      <top style="thin">
        <color theme="0"/>
      </top>
      <bottom style="thin">
        <color theme="0"/>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14996795556505021"/>
      </right>
      <top/>
      <bottom/>
      <diagonal/>
    </border>
    <border>
      <left style="thin">
        <color theme="0" tint="-0.14996795556505021"/>
      </left>
      <right/>
      <top/>
      <bottom/>
      <diagonal/>
    </border>
    <border>
      <left/>
      <right/>
      <top/>
      <bottom style="medium">
        <color indexed="64"/>
      </bottom>
      <diagonal/>
    </border>
    <border>
      <left/>
      <right/>
      <top style="thin">
        <color theme="0"/>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cellStyleXfs>
  <cellXfs count="121">
    <xf numFmtId="0" fontId="0" fillId="0" borderId="0" xfId="0"/>
    <xf numFmtId="43" fontId="0" fillId="0" borderId="0" xfId="1" applyFont="1"/>
    <xf numFmtId="164" fontId="0" fillId="0" borderId="0" xfId="1" applyNumberFormat="1" applyFont="1"/>
    <xf numFmtId="10" fontId="0" fillId="0" borderId="0" xfId="0" applyNumberFormat="1"/>
    <xf numFmtId="0" fontId="0" fillId="0" borderId="0" xfId="0" applyAlignment="1">
      <alignment vertical="center"/>
    </xf>
    <xf numFmtId="0" fontId="0" fillId="2" borderId="0" xfId="0" applyFill="1" applyAlignment="1">
      <alignment vertical="center"/>
    </xf>
    <xf numFmtId="14" fontId="0" fillId="0" borderId="0" xfId="0" applyNumberFormat="1"/>
    <xf numFmtId="165" fontId="2" fillId="5" borderId="3" xfId="1" applyNumberFormat="1" applyFont="1" applyFill="1" applyBorder="1" applyAlignment="1">
      <alignment horizontal="center" vertical="center"/>
    </xf>
    <xf numFmtId="10" fontId="2" fillId="5" borderId="4" xfId="2" applyNumberFormat="1" applyFont="1" applyFill="1" applyBorder="1" applyAlignment="1">
      <alignment horizontal="center" vertical="center"/>
    </xf>
    <xf numFmtId="166" fontId="2" fillId="5" borderId="4" xfId="1" applyNumberFormat="1" applyFont="1" applyFill="1" applyBorder="1" applyAlignment="1">
      <alignment horizontal="center" vertical="center"/>
    </xf>
    <xf numFmtId="167" fontId="0" fillId="0" borderId="0" xfId="0" applyNumberFormat="1"/>
    <xf numFmtId="0" fontId="0" fillId="6" borderId="0" xfId="0" applyFill="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1" fontId="0" fillId="0" borderId="0" xfId="0" applyNumberFormat="1"/>
    <xf numFmtId="9" fontId="0" fillId="0" borderId="0" xfId="0" applyNumberFormat="1" applyAlignment="1">
      <alignment horizontal="center"/>
    </xf>
    <xf numFmtId="164" fontId="0" fillId="0" borderId="0" xfId="1" applyNumberFormat="1" applyFont="1" applyBorder="1"/>
    <xf numFmtId="43" fontId="0" fillId="0" borderId="0" xfId="0" applyNumberFormat="1"/>
    <xf numFmtId="0" fontId="0" fillId="0" borderId="10" xfId="0" applyBorder="1"/>
    <xf numFmtId="43" fontId="0" fillId="0" borderId="9" xfId="0" applyNumberFormat="1" applyBorder="1"/>
    <xf numFmtId="43" fontId="0" fillId="7" borderId="9" xfId="0" applyNumberFormat="1" applyFill="1" applyBorder="1"/>
    <xf numFmtId="14" fontId="0" fillId="7" borderId="0" xfId="0" applyNumberFormat="1" applyFill="1"/>
    <xf numFmtId="43" fontId="0" fillId="0" borderId="11" xfId="0" applyNumberFormat="1" applyBorder="1"/>
    <xf numFmtId="14" fontId="0" fillId="0" borderId="12" xfId="0" applyNumberFormat="1" applyBorder="1"/>
    <xf numFmtId="1" fontId="0" fillId="0" borderId="12" xfId="0" applyNumberFormat="1" applyBorder="1"/>
    <xf numFmtId="9" fontId="0" fillId="0" borderId="12" xfId="0" applyNumberFormat="1" applyBorder="1" applyAlignment="1">
      <alignment horizontal="center"/>
    </xf>
    <xf numFmtId="164" fontId="0" fillId="0" borderId="12" xfId="1" applyNumberFormat="1" applyFont="1" applyBorder="1"/>
    <xf numFmtId="43" fontId="0" fillId="0" borderId="12" xfId="0" applyNumberFormat="1" applyBorder="1"/>
    <xf numFmtId="0" fontId="0" fillId="0" borderId="13" xfId="0" applyBorder="1"/>
    <xf numFmtId="14" fontId="0" fillId="0" borderId="8" xfId="0" applyNumberFormat="1" applyBorder="1"/>
    <xf numFmtId="14" fontId="0" fillId="0" borderId="10" xfId="0" applyNumberFormat="1" applyBorder="1"/>
    <xf numFmtId="164" fontId="0" fillId="0" borderId="10" xfId="1" applyNumberFormat="1" applyFont="1" applyBorder="1"/>
    <xf numFmtId="10" fontId="0" fillId="0" borderId="10" xfId="0" applyNumberFormat="1" applyBorder="1"/>
    <xf numFmtId="10" fontId="0" fillId="0" borderId="10" xfId="0" applyNumberFormat="1" applyBorder="1" applyAlignment="1">
      <alignment horizontal="center"/>
    </xf>
    <xf numFmtId="0" fontId="0" fillId="0" borderId="11" xfId="0" applyBorder="1"/>
    <xf numFmtId="9" fontId="0" fillId="0" borderId="0" xfId="0" applyNumberFormat="1"/>
    <xf numFmtId="9" fontId="0" fillId="0" borderId="10" xfId="0" applyNumberFormat="1" applyBorder="1"/>
    <xf numFmtId="9" fontId="0" fillId="0" borderId="12" xfId="0" applyNumberFormat="1" applyBorder="1"/>
    <xf numFmtId="9" fontId="0" fillId="0" borderId="13" xfId="0" applyNumberFormat="1" applyBorder="1"/>
    <xf numFmtId="10" fontId="2" fillId="5" borderId="5" xfId="2" applyNumberFormat="1" applyFont="1" applyFill="1" applyBorder="1" applyAlignment="1">
      <alignment horizontal="center" vertical="center"/>
    </xf>
    <xf numFmtId="3" fontId="0" fillId="0" borderId="0" xfId="0" applyNumberFormat="1"/>
    <xf numFmtId="164" fontId="0" fillId="0" borderId="0" xfId="0" applyNumberFormat="1"/>
    <xf numFmtId="0" fontId="0" fillId="3" borderId="0" xfId="0" applyFill="1" applyAlignment="1">
      <alignment vertical="center"/>
    </xf>
    <xf numFmtId="0" fontId="0" fillId="3" borderId="0" xfId="0" applyFill="1"/>
    <xf numFmtId="14" fontId="0" fillId="6" borderId="1" xfId="0" applyNumberFormat="1" applyFill="1" applyBorder="1" applyAlignment="1" applyProtection="1">
      <alignment horizontal="center" vertical="center"/>
      <protection locked="0"/>
    </xf>
    <xf numFmtId="10" fontId="0" fillId="0" borderId="0" xfId="2" applyNumberFormat="1" applyFont="1"/>
    <xf numFmtId="10" fontId="0" fillId="0" borderId="13" xfId="2" applyNumberFormat="1" applyFont="1" applyBorder="1"/>
    <xf numFmtId="1" fontId="0" fillId="6" borderId="2" xfId="0" applyNumberFormat="1" applyFill="1" applyBorder="1" applyAlignment="1" applyProtection="1">
      <alignment horizontal="center" vertical="center"/>
      <protection locked="0"/>
    </xf>
    <xf numFmtId="43" fontId="0" fillId="0" borderId="10" xfId="1" applyFont="1" applyBorder="1"/>
    <xf numFmtId="0" fontId="0" fillId="2" borderId="0" xfId="0" applyFill="1"/>
    <xf numFmtId="0" fontId="3" fillId="7" borderId="0" xfId="0" applyFont="1" applyFill="1" applyAlignment="1">
      <alignment horizontal="left" vertical="center" indent="2"/>
    </xf>
    <xf numFmtId="0" fontId="0" fillId="7" borderId="0" xfId="0" applyFill="1"/>
    <xf numFmtId="0" fontId="0" fillId="0" borderId="14" xfId="0" applyBorder="1" applyAlignment="1">
      <alignment horizontal="left" vertical="center" indent="1"/>
    </xf>
    <xf numFmtId="0" fontId="0" fillId="2" borderId="14" xfId="0" applyFill="1" applyBorder="1" applyAlignment="1">
      <alignment horizontal="left" vertical="center" indent="1"/>
    </xf>
    <xf numFmtId="0" fontId="4" fillId="2" borderId="15"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3" fillId="0" borderId="14" xfId="0" applyFont="1" applyBorder="1" applyAlignment="1">
      <alignment horizontal="left" vertical="center" indent="1"/>
    </xf>
    <xf numFmtId="2" fontId="0" fillId="0" borderId="0" xfId="0" applyNumberFormat="1"/>
    <xf numFmtId="5" fontId="0" fillId="6" borderId="2" xfId="3" applyNumberFormat="1" applyFont="1" applyFill="1" applyBorder="1" applyAlignment="1" applyProtection="1">
      <alignment horizontal="center" vertical="center"/>
      <protection locked="0"/>
    </xf>
    <xf numFmtId="5" fontId="2" fillId="5" borderId="4" xfId="3" applyNumberFormat="1" applyFont="1" applyFill="1" applyBorder="1" applyAlignment="1">
      <alignment horizontal="center" vertical="center"/>
    </xf>
    <xf numFmtId="0" fontId="9" fillId="0" borderId="0" xfId="0" applyFont="1"/>
    <xf numFmtId="0" fontId="0" fillId="2" borderId="16" xfId="0" applyFill="1" applyBorder="1" applyAlignment="1">
      <alignment vertical="center"/>
    </xf>
    <xf numFmtId="0" fontId="0" fillId="2" borderId="0" xfId="0" applyFill="1" applyAlignment="1">
      <alignment horizontal="center" vertical="center"/>
    </xf>
    <xf numFmtId="0" fontId="0" fillId="6" borderId="1" xfId="0" applyFill="1" applyBorder="1" applyAlignment="1">
      <alignment horizontal="center" vertical="center"/>
    </xf>
    <xf numFmtId="0" fontId="0" fillId="6" borderId="0" xfId="0" applyFill="1" applyAlignment="1">
      <alignment horizontal="center" vertical="center"/>
    </xf>
    <xf numFmtId="0" fontId="9" fillId="0" borderId="0" xfId="0" applyFont="1" applyAlignment="1">
      <alignment horizontal="center"/>
    </xf>
    <xf numFmtId="0" fontId="0" fillId="0" borderId="0" xfId="0" applyAlignment="1">
      <alignment horizontal="center"/>
    </xf>
    <xf numFmtId="5" fontId="0" fillId="0" borderId="0" xfId="0" applyNumberFormat="1" applyAlignment="1">
      <alignment horizontal="center"/>
    </xf>
    <xf numFmtId="5" fontId="10" fillId="10" borderId="16" xfId="3" applyNumberFormat="1" applyFont="1" applyFill="1" applyBorder="1" applyAlignment="1" applyProtection="1">
      <alignment horizontal="center" vertical="center" wrapText="1"/>
      <protection locked="0"/>
    </xf>
    <xf numFmtId="0" fontId="0" fillId="2" borderId="0" xfId="0" applyFill="1" applyAlignment="1">
      <alignment horizontal="left" vertical="center"/>
    </xf>
    <xf numFmtId="0" fontId="0" fillId="2" borderId="16" xfId="0" applyFill="1" applyBorder="1" applyAlignment="1">
      <alignment horizontal="left" vertical="center" wrapText="1"/>
    </xf>
    <xf numFmtId="5" fontId="0" fillId="6" borderId="0" xfId="3" applyNumberFormat="1" applyFont="1" applyFill="1" applyBorder="1" applyAlignment="1" applyProtection="1">
      <alignment horizontal="center" vertical="center" wrapText="1"/>
      <protection locked="0"/>
    </xf>
    <xf numFmtId="5" fontId="0" fillId="6" borderId="17" xfId="3" applyNumberFormat="1" applyFont="1" applyFill="1" applyBorder="1" applyAlignment="1" applyProtection="1">
      <alignment horizontal="center" vertical="center"/>
      <protection locked="0"/>
    </xf>
    <xf numFmtId="5" fontId="0" fillId="6" borderId="17" xfId="3" applyNumberFormat="1" applyFont="1" applyFill="1" applyBorder="1" applyAlignment="1" applyProtection="1">
      <alignment horizontal="center" vertical="center" wrapText="1"/>
      <protection locked="0"/>
    </xf>
    <xf numFmtId="5" fontId="0" fillId="6" borderId="2" xfId="3" applyNumberFormat="1" applyFont="1" applyFill="1" applyBorder="1" applyAlignment="1" applyProtection="1">
      <alignment horizontal="center" vertical="center" wrapText="1"/>
      <protection locked="0"/>
    </xf>
    <xf numFmtId="5" fontId="0" fillId="9" borderId="2" xfId="3" applyNumberFormat="1" applyFont="1" applyFill="1" applyBorder="1" applyAlignment="1" applyProtection="1">
      <alignment horizontal="center" vertical="center" wrapText="1"/>
      <protection locked="0"/>
    </xf>
    <xf numFmtId="5" fontId="0" fillId="6" borderId="16" xfId="3" applyNumberFormat="1" applyFont="1" applyFill="1" applyBorder="1" applyAlignment="1" applyProtection="1">
      <alignment horizontal="center" vertical="center" wrapText="1"/>
      <protection locked="0"/>
    </xf>
    <xf numFmtId="5" fontId="0" fillId="6" borderId="1" xfId="3" applyNumberFormat="1" applyFont="1" applyFill="1" applyBorder="1" applyAlignment="1" applyProtection="1">
      <alignment horizontal="center" vertical="center" wrapText="1"/>
      <protection locked="0"/>
    </xf>
    <xf numFmtId="0" fontId="0" fillId="11" borderId="0" xfId="0" applyFill="1" applyAlignment="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12" fillId="3" borderId="0" xfId="0" applyFont="1" applyFill="1" applyAlignment="1">
      <alignment vertical="center"/>
    </xf>
    <xf numFmtId="0" fontId="12" fillId="11"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2" fillId="0" borderId="0" xfId="0" applyFont="1"/>
    <xf numFmtId="10" fontId="13" fillId="0" borderId="18" xfId="0" applyNumberFormat="1" applyFont="1" applyBorder="1"/>
    <xf numFmtId="0" fontId="0" fillId="3" borderId="0" xfId="0" applyFill="1" applyAlignment="1">
      <alignment horizontal="center" vertical="center"/>
    </xf>
    <xf numFmtId="0" fontId="0" fillId="11" borderId="0" xfId="0" applyFill="1" applyAlignment="1">
      <alignment horizontal="center" vertical="center"/>
    </xf>
    <xf numFmtId="0" fontId="9" fillId="2" borderId="0" xfId="0" applyFont="1" applyFill="1" applyAlignment="1">
      <alignment horizontal="center" vertical="center"/>
    </xf>
    <xf numFmtId="0" fontId="7" fillId="3" borderId="0" xfId="0" applyFont="1" applyFill="1" applyAlignment="1">
      <alignment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2" borderId="15" xfId="0" applyFont="1" applyFill="1" applyBorder="1" applyAlignment="1">
      <alignment horizontal="left" vertical="center" wrapText="1"/>
    </xf>
    <xf numFmtId="0" fontId="4" fillId="2" borderId="0" xfId="0" applyFont="1" applyFill="1" applyAlignment="1">
      <alignment horizontal="left" vertical="center" wrapText="1"/>
    </xf>
    <xf numFmtId="0" fontId="0" fillId="4" borderId="0" xfId="0" applyFill="1" applyAlignment="1">
      <alignment horizontal="center" vertical="center"/>
    </xf>
    <xf numFmtId="0" fontId="2" fillId="3" borderId="0" xfId="0" applyFont="1" applyFill="1" applyAlignment="1">
      <alignment horizontal="center" vertical="center"/>
    </xf>
    <xf numFmtId="5" fontId="11" fillId="5" borderId="0" xfId="0" applyNumberFormat="1" applyFon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vertical="center"/>
    </xf>
    <xf numFmtId="0" fontId="14" fillId="8" borderId="0" xfId="4" applyFont="1" applyFill="1" applyAlignment="1">
      <alignment horizontal="center" vertical="center"/>
    </xf>
    <xf numFmtId="0" fontId="7" fillId="3" borderId="0" xfId="0" applyFont="1" applyFill="1" applyAlignment="1">
      <alignment horizontal="center" vertical="center" wrapText="1"/>
    </xf>
    <xf numFmtId="10" fontId="5" fillId="0" borderId="0" xfId="2" applyNumberFormat="1" applyFont="1" applyAlignment="1">
      <alignment horizontal="center" vertical="center"/>
    </xf>
    <xf numFmtId="10" fontId="5" fillId="2" borderId="0" xfId="0" applyNumberFormat="1" applyFont="1" applyFill="1" applyAlignment="1">
      <alignment horizontal="center" vertical="center"/>
    </xf>
    <xf numFmtId="0" fontId="4" fillId="2" borderId="15"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10" fontId="5" fillId="2" borderId="0" xfId="2" applyNumberFormat="1" applyFont="1" applyFill="1" applyAlignment="1">
      <alignment horizontal="center" vertical="center"/>
    </xf>
    <xf numFmtId="0" fontId="4"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cellXfs>
  <cellStyles count="5">
    <cellStyle name="Hiperlink" xfId="4" builtinId="8"/>
    <cellStyle name="Moeda" xfId="3" builtinId="4"/>
    <cellStyle name="Normal" xfId="0" builtinId="0"/>
    <cellStyle name="Porcentagem" xfId="2" builtinId="5"/>
    <cellStyle name="Vírgula" xfId="1" builtinId="3"/>
  </cellStyles>
  <dxfs count="0"/>
  <tableStyles count="0" defaultTableStyle="TableStyleMedium2" defaultPivotStyle="PivotStyleLight16"/>
  <colors>
    <mruColors>
      <color rgb="FF800000"/>
      <color rgb="FFD20021"/>
      <color rgb="FFBE0028"/>
      <color rgb="FFB40028"/>
      <color rgb="FFE60021"/>
      <color rgb="FFA00022"/>
      <color rgb="FF78001D"/>
      <color rgb="FFDC0021"/>
      <color rgb="FFCC0000"/>
      <color rgb="FF8C00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8010665965692"/>
          <c:y val="0.14998991986818397"/>
          <c:w val="0.82293063139489964"/>
          <c:h val="0.71062313351884487"/>
        </c:manualLayout>
      </c:layout>
      <c:barChart>
        <c:barDir val="col"/>
        <c:grouping val="clustered"/>
        <c:varyColors val="0"/>
        <c:ser>
          <c:idx val="1"/>
          <c:order val="1"/>
          <c:tx>
            <c:strRef>
              <c:f>Apoio!$I$8</c:f>
              <c:strCache>
                <c:ptCount val="1"/>
                <c:pt idx="0">
                  <c:v>Patrimônio</c:v>
                </c:pt>
              </c:strCache>
            </c:strRef>
          </c:tx>
          <c:spPr>
            <a:solidFill>
              <a:srgbClr val="800000"/>
            </a:solidFill>
            <a:ln>
              <a:noFill/>
            </a:ln>
            <a:effectLst/>
          </c:spPr>
          <c:invertIfNegative val="0"/>
          <c:dLbls>
            <c:delete val="1"/>
          </c:dLbls>
          <c:cat>
            <c:numRef>
              <c:f>Apoio!$G$9:$G$18</c:f>
              <c:numCache>
                <c:formatCode>0</c:formatCode>
                <c:ptCount val="10"/>
                <c:pt idx="0">
                  <c:v>125.35342465753425</c:v>
                </c:pt>
                <c:pt idx="1">
                  <c:v>0</c:v>
                </c:pt>
                <c:pt idx="2">
                  <c:v>0</c:v>
                </c:pt>
                <c:pt idx="3">
                  <c:v>0</c:v>
                </c:pt>
                <c:pt idx="4">
                  <c:v>0</c:v>
                </c:pt>
                <c:pt idx="5">
                  <c:v>0</c:v>
                </c:pt>
                <c:pt idx="6">
                  <c:v>0</c:v>
                </c:pt>
                <c:pt idx="7">
                  <c:v>0</c:v>
                </c:pt>
                <c:pt idx="8">
                  <c:v>0</c:v>
                </c:pt>
                <c:pt idx="9">
                  <c:v>0</c:v>
                </c:pt>
              </c:numCache>
            </c:numRef>
          </c:cat>
          <c:val>
            <c:numRef>
              <c:f>Apoio!$I$9:$I$18</c:f>
              <c:numCache>
                <c:formatCode>_-* #,##0_-;\-*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B71-4111-B646-33D57326639B}"/>
            </c:ext>
          </c:extLst>
        </c:ser>
        <c:dLbls>
          <c:showLegendKey val="0"/>
          <c:showVal val="1"/>
          <c:showCatName val="0"/>
          <c:showSerName val="0"/>
          <c:showPercent val="0"/>
          <c:showBubbleSize val="0"/>
        </c:dLbls>
        <c:gapWidth val="75"/>
        <c:axId val="1267536448"/>
        <c:axId val="1267543104"/>
      </c:barChart>
      <c:lineChart>
        <c:grouping val="standard"/>
        <c:varyColors val="0"/>
        <c:ser>
          <c:idx val="0"/>
          <c:order val="0"/>
          <c:tx>
            <c:strRef>
              <c:f>Apoio!$H$8</c:f>
              <c:strCache>
                <c:ptCount val="1"/>
                <c:pt idx="0">
                  <c:v>% Meta</c:v>
                </c:pt>
              </c:strCache>
            </c:strRef>
          </c:tx>
          <c:spPr>
            <a:ln w="28575" cap="rnd">
              <a:solidFill>
                <a:schemeClr val="bg1">
                  <a:lumMod val="75000"/>
                </a:schemeClr>
              </a:solidFill>
              <a:round/>
            </a:ln>
            <a:effectLst/>
          </c:spPr>
          <c:marker>
            <c:symbol val="circle"/>
            <c:size val="5"/>
            <c:spPr>
              <a:solidFill>
                <a:schemeClr val="bg1">
                  <a:lumMod val="85000"/>
                </a:schemeClr>
              </a:solidFill>
              <a:ln w="9525">
                <a:solidFill>
                  <a:schemeClr val="bg1">
                    <a:lumMod val="75000"/>
                  </a:schemeClr>
                </a:solidFill>
              </a:ln>
              <a:effectLst/>
            </c:spPr>
          </c:marker>
          <c:dLbls>
            <c:dLbl>
              <c:idx val="0"/>
              <c:tx>
                <c:rich>
                  <a:bodyPr/>
                  <a:lstStyle/>
                  <a:p>
                    <a:fld id="{C499C0A3-9A60-4849-8844-4CA5034D07B4}" type="CELLRANGE">
                      <a:rPr lang="en-US"/>
                      <a:pPr/>
                      <a:t>[INTERVALODACÉLULA]</a:t>
                    </a:fld>
                    <a:endParaRPr lang="en-US" baseline="0"/>
                  </a:p>
                  <a:p>
                    <a:fld id="{7013F503-BDFC-42E2-B87A-F607214DD209}"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70C-47C3-B2F1-B0AEA3644207}"/>
                </c:ext>
              </c:extLst>
            </c:dLbl>
            <c:dLbl>
              <c:idx val="1"/>
              <c:tx>
                <c:rich>
                  <a:bodyPr/>
                  <a:lstStyle/>
                  <a:p>
                    <a:fld id="{4E309275-8138-4CA7-BBF2-8A6B4C3AD9A9}" type="CELLRANGE">
                      <a:rPr lang="en-US"/>
                      <a:pPr/>
                      <a:t>[INTERVALODACÉLULA]</a:t>
                    </a:fld>
                    <a:endParaRPr lang="en-US" baseline="0"/>
                  </a:p>
                  <a:p>
                    <a:fld id="{74148973-A27B-4496-BFE5-EA0D700B90D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570C-47C3-B2F1-B0AEA3644207}"/>
                </c:ext>
              </c:extLst>
            </c:dLbl>
            <c:dLbl>
              <c:idx val="2"/>
              <c:tx>
                <c:rich>
                  <a:bodyPr/>
                  <a:lstStyle/>
                  <a:p>
                    <a:fld id="{C71A2BD2-3932-4D6A-9A66-56BA6A24B939}" type="CELLRANGE">
                      <a:rPr lang="en-US"/>
                      <a:pPr/>
                      <a:t>[INTERVALODACÉLULA]</a:t>
                    </a:fld>
                    <a:endParaRPr lang="en-US" baseline="0"/>
                  </a:p>
                  <a:p>
                    <a:fld id="{4F096FE0-206B-4B5A-A0BC-5866CCE74D11}"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570C-47C3-B2F1-B0AEA3644207}"/>
                </c:ext>
              </c:extLst>
            </c:dLbl>
            <c:dLbl>
              <c:idx val="3"/>
              <c:tx>
                <c:rich>
                  <a:bodyPr/>
                  <a:lstStyle/>
                  <a:p>
                    <a:fld id="{55C9EBDA-EC94-4DCF-916B-5E4C94F3ECA3}" type="CELLRANGE">
                      <a:rPr lang="en-US"/>
                      <a:pPr/>
                      <a:t>[INTERVALODACÉLULA]</a:t>
                    </a:fld>
                    <a:endParaRPr lang="en-US" baseline="0"/>
                  </a:p>
                  <a:p>
                    <a:fld id="{D2A4EAF0-857D-4103-A1D4-566E3ED31617}"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570C-47C3-B2F1-B0AEA3644207}"/>
                </c:ext>
              </c:extLst>
            </c:dLbl>
            <c:dLbl>
              <c:idx val="4"/>
              <c:tx>
                <c:rich>
                  <a:bodyPr/>
                  <a:lstStyle/>
                  <a:p>
                    <a:fld id="{74784D54-B504-4FEF-B674-EECF23379AB8}" type="CELLRANGE">
                      <a:rPr lang="en-US"/>
                      <a:pPr/>
                      <a:t>[INTERVALODACÉLULA]</a:t>
                    </a:fld>
                    <a:endParaRPr lang="en-US" baseline="0"/>
                  </a:p>
                  <a:p>
                    <a:fld id="{091CDEC0-A750-4644-8110-C831EA0A676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570C-47C3-B2F1-B0AEA3644207}"/>
                </c:ext>
              </c:extLst>
            </c:dLbl>
            <c:dLbl>
              <c:idx val="5"/>
              <c:tx>
                <c:rich>
                  <a:bodyPr/>
                  <a:lstStyle/>
                  <a:p>
                    <a:fld id="{B4A97340-8631-4E85-AB36-A3535657643D}" type="CELLRANGE">
                      <a:rPr lang="en-US"/>
                      <a:pPr/>
                      <a:t>[INTERVALODACÉLULA]</a:t>
                    </a:fld>
                    <a:endParaRPr lang="en-US" baseline="0"/>
                  </a:p>
                  <a:p>
                    <a:fld id="{26147F69-32FC-4C45-8B8E-ADC812DCCE6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570C-47C3-B2F1-B0AEA3644207}"/>
                </c:ext>
              </c:extLst>
            </c:dLbl>
            <c:dLbl>
              <c:idx val="6"/>
              <c:tx>
                <c:rich>
                  <a:bodyPr/>
                  <a:lstStyle/>
                  <a:p>
                    <a:fld id="{B960E0AD-9B36-4C41-9E4B-CA09DCE761EB}" type="CELLRANGE">
                      <a:rPr lang="en-US"/>
                      <a:pPr/>
                      <a:t>[INTERVALODACÉLULA]</a:t>
                    </a:fld>
                    <a:endParaRPr lang="en-US" baseline="0"/>
                  </a:p>
                  <a:p>
                    <a:fld id="{1902F483-CFC7-450E-A4B3-3CF320B15A6C}"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570C-47C3-B2F1-B0AEA3644207}"/>
                </c:ext>
              </c:extLst>
            </c:dLbl>
            <c:dLbl>
              <c:idx val="7"/>
              <c:tx>
                <c:rich>
                  <a:bodyPr/>
                  <a:lstStyle/>
                  <a:p>
                    <a:fld id="{E8536167-5730-42A6-8B6C-B78BC3F134C9}" type="CELLRANGE">
                      <a:rPr lang="en-US"/>
                      <a:pPr/>
                      <a:t>[INTERVALODACÉLULA]</a:t>
                    </a:fld>
                    <a:endParaRPr lang="en-US" baseline="0"/>
                  </a:p>
                  <a:p>
                    <a:fld id="{E7A68699-9B51-4012-B0EB-323193C8DFA0}"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570C-47C3-B2F1-B0AEA3644207}"/>
                </c:ext>
              </c:extLst>
            </c:dLbl>
            <c:dLbl>
              <c:idx val="8"/>
              <c:tx>
                <c:rich>
                  <a:bodyPr/>
                  <a:lstStyle/>
                  <a:p>
                    <a:fld id="{5F4779FE-732F-4095-B5A9-D110C5EF472E}" type="CELLRANGE">
                      <a:rPr lang="en-US"/>
                      <a:pPr/>
                      <a:t>[INTERVALODACÉLULA]</a:t>
                    </a:fld>
                    <a:endParaRPr lang="en-US" baseline="0"/>
                  </a:p>
                  <a:p>
                    <a:fld id="{A3BF1A83-EDCA-4B4C-A261-DBEC6F5B39CB}"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570C-47C3-B2F1-B0AEA3644207}"/>
                </c:ext>
              </c:extLst>
            </c:dLbl>
            <c:dLbl>
              <c:idx val="9"/>
              <c:tx>
                <c:rich>
                  <a:bodyPr/>
                  <a:lstStyle/>
                  <a:p>
                    <a:fld id="{B4A90563-1006-40B0-BBDF-BA5D58D28CB9}" type="CELLRANGE">
                      <a:rPr lang="en-US"/>
                      <a:pPr/>
                      <a:t>[INTERVALODACÉLULA]</a:t>
                    </a:fld>
                    <a:endParaRPr lang="en-US" baseline="0"/>
                  </a:p>
                  <a:p>
                    <a:fld id="{745497FD-7FA6-49D1-823A-4F8EA33205BD}" type="VALUE">
                      <a:rPr lang="en-US"/>
                      <a:pPr/>
                      <a:t>[VALOR]</a:t>
                    </a:fld>
                    <a:endParaRPr lang="pt-BR"/>
                  </a:p>
                </c:rich>
              </c:tx>
              <c:dLblPos val="t"/>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570C-47C3-B2F1-B0AEA3644207}"/>
                </c:ext>
              </c:extLst>
            </c:dLbl>
            <c:spPr>
              <a:solidFill>
                <a:schemeClr val="lt1"/>
              </a:solidFill>
              <a:ln>
                <a:solidFill>
                  <a:schemeClr val="bg1">
                    <a:lumMod val="95000"/>
                  </a:schemeClr>
                </a:solid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chemeClr val="dk1">
                        <a:lumMod val="65000"/>
                        <a:lumOff val="35000"/>
                      </a:schemeClr>
                    </a:solidFill>
                    <a:latin typeface="Montserrat" panose="00000500000000000000" pitchFamily="2" charset="0"/>
                    <a:ea typeface="+mn-ea"/>
                    <a:cs typeface="+mn-cs"/>
                  </a:defRPr>
                </a:pPr>
                <a:endParaRPr lang="pt-BR"/>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ound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cat>
            <c:numRef>
              <c:f>Apoio!$G$9:$G$18</c:f>
              <c:numCache>
                <c:formatCode>0</c:formatCode>
                <c:ptCount val="10"/>
                <c:pt idx="0">
                  <c:v>125.35342465753425</c:v>
                </c:pt>
                <c:pt idx="1">
                  <c:v>0</c:v>
                </c:pt>
                <c:pt idx="2">
                  <c:v>0</c:v>
                </c:pt>
                <c:pt idx="3">
                  <c:v>0</c:v>
                </c:pt>
                <c:pt idx="4">
                  <c:v>0</c:v>
                </c:pt>
                <c:pt idx="5">
                  <c:v>0</c:v>
                </c:pt>
                <c:pt idx="6">
                  <c:v>0</c:v>
                </c:pt>
                <c:pt idx="7">
                  <c:v>0</c:v>
                </c:pt>
                <c:pt idx="8">
                  <c:v>0</c:v>
                </c:pt>
                <c:pt idx="9">
                  <c:v>0</c:v>
                </c:pt>
              </c:numCache>
            </c:numRef>
          </c:cat>
          <c:val>
            <c:numRef>
              <c:f>Apoio!$H$9:$H$18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5="http://schemas.microsoft.com/office/drawing/2012/chart" uri="{02D57815-91ED-43cb-92C2-25804820EDAC}">
              <c15:datalabelsRange>
                <c15:f>Apoio!$L$9:$L$18</c15:f>
                <c15:dlblRangeCache>
                  <c:ptCount val="10"/>
                  <c:pt idx="0">
                    <c:v> 0 Mi </c:v>
                  </c:pt>
                  <c:pt idx="1">
                    <c:v> #NÚM! </c:v>
                  </c:pt>
                  <c:pt idx="2">
                    <c:v> #NÚM! </c:v>
                  </c:pt>
                  <c:pt idx="3">
                    <c:v> #NÚM! </c:v>
                  </c:pt>
                  <c:pt idx="4">
                    <c:v> #NÚM! </c:v>
                  </c:pt>
                  <c:pt idx="5">
                    <c:v> #NÚM! </c:v>
                  </c:pt>
                  <c:pt idx="6">
                    <c:v> #NÚM! </c:v>
                  </c:pt>
                  <c:pt idx="7">
                    <c:v> #NÚM! </c:v>
                  </c:pt>
                  <c:pt idx="8">
                    <c:v> #NÚM! </c:v>
                  </c:pt>
                  <c:pt idx="9">
                    <c:v> #NÚM! </c:v>
                  </c:pt>
                </c15:dlblRangeCache>
              </c15:datalabelsRange>
            </c:ext>
            <c:ext xmlns:c16="http://schemas.microsoft.com/office/drawing/2014/chart" uri="{C3380CC4-5D6E-409C-BE32-E72D297353CC}">
              <c16:uniqueId val="{00000001-4B71-4111-B646-33D57326639B}"/>
            </c:ext>
          </c:extLst>
        </c:ser>
        <c:ser>
          <c:idx val="2"/>
          <c:order val="2"/>
          <c:tx>
            <c:strRef>
              <c:f>Apoio!$K$8</c:f>
              <c:strCache>
                <c:ptCount val="1"/>
                <c:pt idx="0">
                  <c:v>Meta</c:v>
                </c:pt>
              </c:strCache>
            </c:strRef>
          </c:tx>
          <c:spPr>
            <a:ln w="28575" cap="rnd">
              <a:solidFill>
                <a:schemeClr val="tx1">
                  <a:lumMod val="65000"/>
                  <a:lumOff val="35000"/>
                </a:schemeClr>
              </a:solidFill>
              <a:prstDash val="dash"/>
              <a:round/>
            </a:ln>
            <a:effectLst/>
          </c:spPr>
          <c:marker>
            <c:symbol val="none"/>
          </c:marker>
          <c:dLbls>
            <c:delete val="1"/>
          </c:dLbls>
          <c:cat>
            <c:numRef>
              <c:f>Apoio!$G$9:$G$18</c:f>
              <c:numCache>
                <c:formatCode>0</c:formatCode>
                <c:ptCount val="10"/>
                <c:pt idx="0">
                  <c:v>125.35342465753425</c:v>
                </c:pt>
                <c:pt idx="1">
                  <c:v>0</c:v>
                </c:pt>
                <c:pt idx="2">
                  <c:v>0</c:v>
                </c:pt>
                <c:pt idx="3">
                  <c:v>0</c:v>
                </c:pt>
                <c:pt idx="4">
                  <c:v>0</c:v>
                </c:pt>
                <c:pt idx="5">
                  <c:v>0</c:v>
                </c:pt>
                <c:pt idx="6">
                  <c:v>0</c:v>
                </c:pt>
                <c:pt idx="7">
                  <c:v>0</c:v>
                </c:pt>
                <c:pt idx="8">
                  <c:v>0</c:v>
                </c:pt>
                <c:pt idx="9">
                  <c:v>0</c:v>
                </c:pt>
              </c:numCache>
            </c:numRef>
          </c:cat>
          <c:val>
            <c:numRef>
              <c:f>Apoio!$K$9:$K$18</c:f>
              <c:numCache>
                <c:formatCode>General</c:formatCode>
                <c:ptCount val="10"/>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2-4B71-4111-B646-33D57326639B}"/>
            </c:ext>
          </c:extLst>
        </c:ser>
        <c:dLbls>
          <c:showLegendKey val="0"/>
          <c:showVal val="1"/>
          <c:showCatName val="0"/>
          <c:showSerName val="0"/>
          <c:showPercent val="0"/>
          <c:showBubbleSize val="0"/>
        </c:dLbls>
        <c:marker val="1"/>
        <c:smooth val="0"/>
        <c:axId val="1267539360"/>
        <c:axId val="1267537280"/>
      </c:lineChart>
      <c:catAx>
        <c:axId val="126753644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ontserrat" panose="00000500000000000000" pitchFamily="2" charset="0"/>
                    <a:ea typeface="+mn-ea"/>
                    <a:cs typeface="+mn-cs"/>
                  </a:defRPr>
                </a:pPr>
                <a:r>
                  <a:rPr lang="pt-BR" sz="800"/>
                  <a:t>Idade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crossAx val="1267543104"/>
        <c:crosses val="autoZero"/>
        <c:auto val="1"/>
        <c:lblAlgn val="ctr"/>
        <c:lblOffset val="100"/>
        <c:noMultiLvlLbl val="0"/>
      </c:catAx>
      <c:valAx>
        <c:axId val="126754310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95000"/>
                  </a:schemeClr>
                </a:solidFill>
                <a:latin typeface="Montserrat" panose="00000500000000000000" pitchFamily="2" charset="0"/>
                <a:ea typeface="+mn-ea"/>
                <a:cs typeface="+mn-cs"/>
              </a:defRPr>
            </a:pPr>
            <a:endParaRPr lang="pt-BR"/>
          </a:p>
        </c:txPr>
        <c:crossAx val="1267536448"/>
        <c:crosses val="autoZero"/>
        <c:crossBetween val="between"/>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pt-BR"/>
                    <a:t> valores em R$ Milhões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dispUnitsLbl>
        </c:dispUnits>
      </c:valAx>
      <c:valAx>
        <c:axId val="12675372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95000"/>
                  </a:schemeClr>
                </a:solidFill>
                <a:latin typeface="Montserrat" panose="00000500000000000000" pitchFamily="2" charset="0"/>
                <a:ea typeface="+mn-ea"/>
                <a:cs typeface="+mn-cs"/>
              </a:defRPr>
            </a:pPr>
            <a:endParaRPr lang="pt-BR"/>
          </a:p>
        </c:txPr>
        <c:crossAx val="1267539360"/>
        <c:crosses val="max"/>
        <c:crossBetween val="between"/>
      </c:valAx>
      <c:catAx>
        <c:axId val="1267539360"/>
        <c:scaling>
          <c:orientation val="minMax"/>
        </c:scaling>
        <c:delete val="1"/>
        <c:axPos val="b"/>
        <c:numFmt formatCode="0" sourceLinked="1"/>
        <c:majorTickMark val="out"/>
        <c:minorTickMark val="none"/>
        <c:tickLblPos val="nextTo"/>
        <c:crossAx val="12675372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49804"/>
      </a:schemeClr>
    </a:solidFill>
    <a:ln w="9525" cap="flat" cmpd="sng" algn="ctr">
      <a:noFill/>
      <a:round/>
    </a:ln>
    <a:effectLst/>
  </c:spPr>
  <c:txPr>
    <a:bodyPr/>
    <a:lstStyle/>
    <a:p>
      <a:pPr>
        <a:defRPr>
          <a:latin typeface="Montserrat" panose="00000500000000000000" pitchFamily="2"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89193050800067"/>
          <c:y val="0.13430886433844708"/>
          <c:w val="0.36051947416262736"/>
          <c:h val="0.70958270066495632"/>
        </c:manualLayout>
      </c:layout>
      <c:pieChart>
        <c:varyColors val="1"/>
        <c:ser>
          <c:idx val="0"/>
          <c:order val="0"/>
          <c:tx>
            <c:strRef>
              <c:f>Apoio_Carteira!$C$10</c:f>
              <c:strCache>
                <c:ptCount val="1"/>
                <c:pt idx="0">
                  <c:v>Conservador</c:v>
                </c:pt>
              </c:strCache>
            </c:strRef>
          </c:tx>
          <c:dPt>
            <c:idx val="0"/>
            <c:bubble3D val="0"/>
            <c:spPr>
              <a:solidFill>
                <a:srgbClr val="78001D"/>
              </a:solidFill>
              <a:ln w="19050">
                <a:solidFill>
                  <a:schemeClr val="lt1"/>
                </a:solidFill>
              </a:ln>
              <a:effectLst/>
            </c:spPr>
            <c:extLst>
              <c:ext xmlns:c16="http://schemas.microsoft.com/office/drawing/2014/chart" uri="{C3380CC4-5D6E-409C-BE32-E72D297353CC}">
                <c16:uniqueId val="{00000001-5F72-46F3-A04B-5D9801F828FF}"/>
              </c:ext>
            </c:extLst>
          </c:dPt>
          <c:dPt>
            <c:idx val="1"/>
            <c:bubble3D val="0"/>
            <c:spPr>
              <a:solidFill>
                <a:srgbClr val="E60021"/>
              </a:solidFill>
              <a:ln w="19050">
                <a:solidFill>
                  <a:schemeClr val="lt1"/>
                </a:solidFill>
              </a:ln>
              <a:effectLst/>
            </c:spPr>
            <c:extLst>
              <c:ext xmlns:c16="http://schemas.microsoft.com/office/drawing/2014/chart" uri="{C3380CC4-5D6E-409C-BE32-E72D297353CC}">
                <c16:uniqueId val="{00000005-5F72-46F3-A04B-5D9801F828FF}"/>
              </c:ext>
            </c:extLst>
          </c:dPt>
          <c:dPt>
            <c:idx val="2"/>
            <c:bubble3D val="0"/>
            <c:spPr>
              <a:solidFill>
                <a:srgbClr val="D20021"/>
              </a:solidFill>
              <a:ln w="19050">
                <a:solidFill>
                  <a:schemeClr val="lt1"/>
                </a:solidFill>
              </a:ln>
              <a:effectLst/>
            </c:spPr>
            <c:extLst>
              <c:ext xmlns:c16="http://schemas.microsoft.com/office/drawing/2014/chart" uri="{C3380CC4-5D6E-409C-BE32-E72D297353CC}">
                <c16:uniqueId val="{00000004-5F72-46F3-A04B-5D9801F828FF}"/>
              </c:ext>
            </c:extLst>
          </c:dPt>
          <c:dPt>
            <c:idx val="3"/>
            <c:bubble3D val="0"/>
            <c:spPr>
              <a:solidFill>
                <a:srgbClr val="BE0028"/>
              </a:solidFill>
              <a:ln w="19050">
                <a:solidFill>
                  <a:schemeClr val="lt1"/>
                </a:solidFill>
              </a:ln>
              <a:effectLst/>
            </c:spPr>
            <c:extLst>
              <c:ext xmlns:c16="http://schemas.microsoft.com/office/drawing/2014/chart" uri="{C3380CC4-5D6E-409C-BE32-E72D297353CC}">
                <c16:uniqueId val="{00000003-5F72-46F3-A04B-5D9801F828FF}"/>
              </c:ext>
            </c:extLst>
          </c:dPt>
          <c:dPt>
            <c:idx val="4"/>
            <c:bubble3D val="0"/>
            <c:spPr>
              <a:solidFill>
                <a:srgbClr val="A00022"/>
              </a:solidFill>
              <a:ln w="19050">
                <a:solidFill>
                  <a:schemeClr val="lt1"/>
                </a:solidFill>
              </a:ln>
              <a:effectLst/>
            </c:spPr>
            <c:extLst>
              <c:ext xmlns:c16="http://schemas.microsoft.com/office/drawing/2014/chart" uri="{C3380CC4-5D6E-409C-BE32-E72D297353CC}">
                <c16:uniqueId val="{00000002-5F72-46F3-A04B-5D9801F828FF}"/>
              </c:ext>
            </c:extLst>
          </c:dPt>
          <c:dLbls>
            <c:dLbl>
              <c:idx val="0"/>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72-46F3-A04B-5D9801F828FF}"/>
                </c:ext>
              </c:extLst>
            </c:dLbl>
            <c:dLbl>
              <c:idx val="2"/>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72-46F3-A04B-5D9801F828FF}"/>
                </c:ext>
              </c:extLst>
            </c:dLbl>
            <c:spPr>
              <a:noFill/>
              <a:ln cap="flat">
                <a:noFill/>
                <a:prstDash val="solid"/>
                <a:round/>
              </a:ln>
              <a:effectLst/>
            </c:spPr>
            <c:txPr>
              <a:bodyPr rot="0" spcFirstLastPara="1" vertOverflow="clip" horzOverflow="clip" vert="horz" wrap="square" lIns="38100" tIns="19050" rIns="38100" bIns="19050" anchor="ctr" anchorCtr="1">
                <a:spAutoFit/>
              </a:bodyPr>
              <a:lstStyle/>
              <a:p>
                <a:pPr>
                  <a:defRPr lang="en-US" sz="1050" b="1" i="0" u="none" strike="noStrike" kern="1200" baseline="0">
                    <a:solidFill>
                      <a:schemeClr val="bg2">
                        <a:lumMod val="25000"/>
                      </a:schemeClr>
                    </a:solidFill>
                    <a:latin typeface="Montserrat" panose="00000500000000000000" pitchFamily="2" charset="0"/>
                    <a:ea typeface="+mn-ea"/>
                    <a:cs typeface="+mn-cs"/>
                  </a:defRPr>
                </a:pPr>
                <a:endParaRPr lang="pt-BR"/>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Apoio_Carteira!$B$11:$B$15</c:f>
              <c:strCache>
                <c:ptCount val="5"/>
                <c:pt idx="0">
                  <c:v>Renda Fixa</c:v>
                </c:pt>
                <c:pt idx="1">
                  <c:v>Fundos Multimercados</c:v>
                </c:pt>
                <c:pt idx="2">
                  <c:v>Fundos Imobiliários</c:v>
                </c:pt>
                <c:pt idx="3">
                  <c:v>Ações Nacionais</c:v>
                </c:pt>
                <c:pt idx="4">
                  <c:v>Ações Internacionais</c:v>
                </c:pt>
              </c:strCache>
            </c:strRef>
          </c:cat>
          <c:val>
            <c:numRef>
              <c:f>Apoio_Carteira!$C$11:$C$15</c:f>
              <c:numCache>
                <c:formatCode>0.00%</c:formatCode>
                <c:ptCount val="5"/>
                <c:pt idx="0">
                  <c:v>0.77500000000000002</c:v>
                </c:pt>
                <c:pt idx="1">
                  <c:v>0</c:v>
                </c:pt>
                <c:pt idx="2">
                  <c:v>0.08</c:v>
                </c:pt>
                <c:pt idx="3">
                  <c:v>7.4999999999999997E-2</c:v>
                </c:pt>
                <c:pt idx="4">
                  <c:v>7.0000000000000007E-2</c:v>
                </c:pt>
              </c:numCache>
            </c:numRef>
          </c:val>
          <c:extLst>
            <c:ext xmlns:c16="http://schemas.microsoft.com/office/drawing/2014/chart" uri="{C3380CC4-5D6E-409C-BE32-E72D297353CC}">
              <c16:uniqueId val="{00000000-5F72-46F3-A04B-5D9801F828F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lang="en-US" sz="1000" b="0" i="0" u="none" strike="noStrike" kern="1200" baseline="0">
          <a:solidFill>
            <a:schemeClr val="tx1"/>
          </a:solidFill>
          <a:latin typeface="Montserrat" panose="00000500000000000000" pitchFamily="2" charset="0"/>
          <a:ea typeface="+mn-ea"/>
          <a:cs typeface="+mn-cs"/>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xml"/><Relationship Id="rId1" Type="http://schemas.openxmlformats.org/officeDocument/2006/relationships/hyperlink" Target="#Gr&#225;fico!A1"/><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0</xdr:col>
      <xdr:colOff>923925</xdr:colOff>
      <xdr:row>1</xdr:row>
      <xdr:rowOff>112939</xdr:rowOff>
    </xdr:to>
    <xdr:pic>
      <xdr:nvPicPr>
        <xdr:cNvPr id="2" name="Imagem 1">
          <a:extLst>
            <a:ext uri="{FF2B5EF4-FFF2-40B4-BE49-F238E27FC236}">
              <a16:creationId xmlns:a16="http://schemas.microsoft.com/office/drawing/2014/main" id="{D45DF52B-6F5C-4F07-A0BC-15BDC3BF4B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38100"/>
          <a:ext cx="828675" cy="234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1</xdr:col>
      <xdr:colOff>855345</xdr:colOff>
      <xdr:row>1</xdr:row>
      <xdr:rowOff>95794</xdr:rowOff>
    </xdr:to>
    <xdr:pic>
      <xdr:nvPicPr>
        <xdr:cNvPr id="3" name="Imagem 2">
          <a:extLst>
            <a:ext uri="{FF2B5EF4-FFF2-40B4-BE49-F238E27FC236}">
              <a16:creationId xmlns:a16="http://schemas.microsoft.com/office/drawing/2014/main" id="{5BB87377-986B-4112-8689-CD082D8831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8155" y="47625"/>
          <a:ext cx="824865" cy="2424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455083</xdr:colOff>
      <xdr:row>5</xdr:row>
      <xdr:rowOff>91711</xdr:rowOff>
    </xdr:from>
    <xdr:to>
      <xdr:col>10</xdr:col>
      <xdr:colOff>410845</xdr:colOff>
      <xdr:row>18</xdr:row>
      <xdr:rowOff>206011</xdr:rowOff>
    </xdr:to>
    <xdr:graphicFrame macro="">
      <xdr:nvGraphicFramePr>
        <xdr:cNvPr id="3" name="Gráfico 2">
          <a:hlinkClick xmlns:r="http://schemas.openxmlformats.org/officeDocument/2006/relationships" r:id="rId1"/>
          <a:extLst>
            <a:ext uri="{FF2B5EF4-FFF2-40B4-BE49-F238E27FC236}">
              <a16:creationId xmlns:a16="http://schemas.microsoft.com/office/drawing/2014/main" id="{1A7602BC-DBAB-4D11-9526-B040172D4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28575</xdr:colOff>
      <xdr:row>0</xdr:row>
      <xdr:rowOff>47625</xdr:rowOff>
    </xdr:from>
    <xdr:to>
      <xdr:col>1</xdr:col>
      <xdr:colOff>853440</xdr:colOff>
      <xdr:row>1</xdr:row>
      <xdr:rowOff>130084</xdr:rowOff>
    </xdr:to>
    <xdr:pic>
      <xdr:nvPicPr>
        <xdr:cNvPr id="4" name="Imagem 3">
          <a:extLst>
            <a:ext uri="{FF2B5EF4-FFF2-40B4-BE49-F238E27FC236}">
              <a16:creationId xmlns:a16="http://schemas.microsoft.com/office/drawing/2014/main" id="{1D542DCC-EE71-031E-50D8-BA365F83DD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47625"/>
          <a:ext cx="828675" cy="236764"/>
        </a:xfrm>
        <a:prstGeom prst="rect">
          <a:avLst/>
        </a:prstGeom>
      </xdr:spPr>
    </xdr:pic>
    <xdr:clientData/>
  </xdr:twoCellAnchor>
  <xdr:twoCellAnchor>
    <xdr:from>
      <xdr:col>4</xdr:col>
      <xdr:colOff>195098</xdr:colOff>
      <xdr:row>18</xdr:row>
      <xdr:rowOff>181822</xdr:rowOff>
    </xdr:from>
    <xdr:to>
      <xdr:col>10</xdr:col>
      <xdr:colOff>499323</xdr:colOff>
      <xdr:row>36</xdr:row>
      <xdr:rowOff>109285</xdr:rowOff>
    </xdr:to>
    <xdr:graphicFrame macro="">
      <xdr:nvGraphicFramePr>
        <xdr:cNvPr id="7" name="Gráfico 6">
          <a:extLst>
            <a:ext uri="{FF2B5EF4-FFF2-40B4-BE49-F238E27FC236}">
              <a16:creationId xmlns:a16="http://schemas.microsoft.com/office/drawing/2014/main" id="{BA5897CD-008B-152A-9143-12AFF43588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0</xdr:col>
      <xdr:colOff>923925</xdr:colOff>
      <xdr:row>1</xdr:row>
      <xdr:rowOff>112939</xdr:rowOff>
    </xdr:to>
    <xdr:pic>
      <xdr:nvPicPr>
        <xdr:cNvPr id="3" name="Imagem 2">
          <a:extLst>
            <a:ext uri="{FF2B5EF4-FFF2-40B4-BE49-F238E27FC236}">
              <a16:creationId xmlns:a16="http://schemas.microsoft.com/office/drawing/2014/main" id="{99D65D7E-F0B4-4EE6-938B-54C3066227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38100"/>
          <a:ext cx="828675" cy="2367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0</xdr:col>
      <xdr:colOff>923925</xdr:colOff>
      <xdr:row>1</xdr:row>
      <xdr:rowOff>131989</xdr:rowOff>
    </xdr:to>
    <xdr:pic>
      <xdr:nvPicPr>
        <xdr:cNvPr id="2" name="Imagem 1">
          <a:extLst>
            <a:ext uri="{FF2B5EF4-FFF2-40B4-BE49-F238E27FC236}">
              <a16:creationId xmlns:a16="http://schemas.microsoft.com/office/drawing/2014/main" id="{58D7D4E4-30FE-41EF-B9AF-AD56DEDCBC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57150"/>
          <a:ext cx="828675" cy="236764"/>
        </a:xfrm>
        <a:prstGeom prst="rect">
          <a:avLst/>
        </a:prstGeom>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lp.suno.com.br/ao/servico-especializado-aw/?utm_source=LeadMagnet&amp;utm_medium=planilha-webinario"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98A8A-33E6-424F-8D0F-C16DDB3C29FD}">
  <dimension ref="A1:O12"/>
  <sheetViews>
    <sheetView showGridLines="0" tabSelected="1" zoomScale="90" zoomScaleNormal="90" workbookViewId="0">
      <selection activeCell="A2" sqref="A2"/>
    </sheetView>
  </sheetViews>
  <sheetFormatPr defaultColWidth="0" defaultRowHeight="0" customHeight="1" zeroHeight="1" x14ac:dyDescent="0.4"/>
  <cols>
    <col min="1" max="1" width="23.90625" bestFit="1" customWidth="1"/>
    <col min="2" max="9" width="8.90625" customWidth="1"/>
    <col min="10" max="10" width="28.453125" customWidth="1"/>
    <col min="11" max="15" width="0" hidden="1" customWidth="1"/>
    <col min="16" max="16384" width="8.90625" hidden="1"/>
  </cols>
  <sheetData>
    <row r="1" spans="1:10" s="11" customFormat="1" ht="12.75" customHeight="1" x14ac:dyDescent="0.4">
      <c r="A1" s="44"/>
      <c r="B1" s="45"/>
      <c r="C1" s="44"/>
      <c r="D1" s="44"/>
      <c r="E1" s="44"/>
      <c r="F1" s="44"/>
      <c r="G1" s="44"/>
      <c r="H1" s="44"/>
      <c r="I1" s="44"/>
      <c r="J1" s="44"/>
    </row>
    <row r="2" spans="1:10" s="11" customFormat="1" ht="12.75" customHeight="1" x14ac:dyDescent="0.4">
      <c r="A2" s="44"/>
      <c r="B2" s="44"/>
      <c r="C2" s="44"/>
      <c r="D2" s="44"/>
      <c r="E2" s="44"/>
      <c r="F2" s="44"/>
      <c r="G2" s="44"/>
      <c r="H2" s="44"/>
      <c r="I2" s="44"/>
      <c r="J2" s="44"/>
    </row>
    <row r="3" spans="1:10" s="5" customFormat="1" ht="1.5" customHeight="1" x14ac:dyDescent="0.4">
      <c r="A3" s="101"/>
      <c r="B3" s="101"/>
      <c r="C3" s="101"/>
      <c r="D3" s="101"/>
      <c r="E3" s="101"/>
      <c r="F3" s="101"/>
      <c r="G3" s="101"/>
      <c r="H3" s="101"/>
      <c r="I3" s="101"/>
      <c r="J3" s="101"/>
    </row>
    <row r="4" spans="1:10" s="51" customFormat="1" ht="18" customHeight="1" x14ac:dyDescent="0.4">
      <c r="A4" s="52" t="s">
        <v>126</v>
      </c>
      <c r="B4" s="53"/>
      <c r="C4" s="53"/>
      <c r="D4" s="53"/>
      <c r="E4" s="53"/>
      <c r="F4" s="53"/>
      <c r="G4" s="53"/>
      <c r="H4" s="53"/>
      <c r="I4" s="53"/>
      <c r="J4" s="53"/>
    </row>
    <row r="5" spans="1:10" ht="63.6" customHeight="1" x14ac:dyDescent="0.4">
      <c r="A5" s="95" t="s">
        <v>127</v>
      </c>
      <c r="B5" s="96"/>
      <c r="C5" s="96"/>
      <c r="D5" s="96"/>
      <c r="E5" s="96"/>
      <c r="F5" s="96"/>
      <c r="G5" s="96"/>
      <c r="H5" s="96"/>
      <c r="I5" s="96"/>
      <c r="J5" s="96"/>
    </row>
    <row r="6" spans="1:10" ht="115.8" customHeight="1" x14ac:dyDescent="0.4">
      <c r="A6" s="55" t="s">
        <v>128</v>
      </c>
      <c r="B6" s="99" t="s">
        <v>132</v>
      </c>
      <c r="C6" s="100"/>
      <c r="D6" s="100"/>
      <c r="E6" s="100"/>
      <c r="F6" s="100"/>
      <c r="G6" s="100"/>
      <c r="H6" s="100"/>
      <c r="I6" s="100"/>
      <c r="J6" s="100"/>
    </row>
    <row r="7" spans="1:10" ht="48" customHeight="1" x14ac:dyDescent="0.4">
      <c r="A7" s="54" t="s">
        <v>129</v>
      </c>
      <c r="B7" s="97" t="s">
        <v>133</v>
      </c>
      <c r="C7" s="98"/>
      <c r="D7" s="98"/>
      <c r="E7" s="98"/>
      <c r="F7" s="98"/>
      <c r="G7" s="98"/>
      <c r="H7" s="98"/>
      <c r="I7" s="98"/>
      <c r="J7" s="98"/>
    </row>
    <row r="8" spans="1:10" ht="48" customHeight="1" x14ac:dyDescent="0.4">
      <c r="A8" s="55" t="s">
        <v>130</v>
      </c>
      <c r="B8" s="99" t="s">
        <v>134</v>
      </c>
      <c r="C8" s="100"/>
      <c r="D8" s="100"/>
      <c r="E8" s="100"/>
      <c r="F8" s="100"/>
      <c r="G8" s="100"/>
      <c r="H8" s="100"/>
      <c r="I8" s="100"/>
      <c r="J8" s="100"/>
    </row>
    <row r="9" spans="1:10" ht="47.4" customHeight="1" x14ac:dyDescent="0.4">
      <c r="A9" s="54" t="s">
        <v>131</v>
      </c>
      <c r="B9" s="97" t="s">
        <v>135</v>
      </c>
      <c r="C9" s="98"/>
      <c r="D9" s="98"/>
      <c r="E9" s="98"/>
      <c r="F9" s="98"/>
      <c r="G9" s="98"/>
      <c r="H9" s="98"/>
      <c r="I9" s="98"/>
      <c r="J9" s="98"/>
    </row>
    <row r="10" spans="1:10" ht="15" hidden="1" customHeight="1" x14ac:dyDescent="0.4"/>
    <row r="11" spans="1:10" ht="15" hidden="1" customHeight="1" x14ac:dyDescent="0.4"/>
    <row r="12" spans="1:10" ht="15" hidden="1" customHeight="1" x14ac:dyDescent="0.4"/>
  </sheetData>
  <sheetProtection algorithmName="SHA-512" hashValue="ZzKQbn9jIavP9g8ksiJvXOTw/R7O6lnsx0fraFPKUhfBAQXVkxpNQ753oKLLlV6r8FL5P2ittKED/05HGfqmNw==" saltValue="p34XdGjJv7EOIFmngXGo2Q==" spinCount="100000" sheet="1" objects="1" scenarios="1"/>
  <mergeCells count="6">
    <mergeCell ref="A5:J5"/>
    <mergeCell ref="B9:J9"/>
    <mergeCell ref="B7:J7"/>
    <mergeCell ref="B8:J8"/>
    <mergeCell ref="A3:J3"/>
    <mergeCell ref="B6:J6"/>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3DAA-A5F1-4BB0-AF91-86AF34A2B1AB}">
  <dimension ref="A1:AC38"/>
  <sheetViews>
    <sheetView showGridLines="0" showRowColHeaders="0" topLeftCell="A2" zoomScale="90" zoomScaleNormal="90" workbookViewId="0">
      <selection activeCell="C7" sqref="C7:C11"/>
    </sheetView>
  </sheetViews>
  <sheetFormatPr defaultColWidth="0" defaultRowHeight="16.2" zeroHeight="1" x14ac:dyDescent="0.4"/>
  <cols>
    <col min="1" max="1" width="5.453125" style="70" customWidth="1"/>
    <col min="2" max="2" width="81.453125" customWidth="1"/>
    <col min="3" max="3" width="48.7265625" customWidth="1"/>
    <col min="4" max="4" width="8.7265625" style="89" hidden="1" customWidth="1"/>
    <col min="5" max="29" width="0" hidden="1" customWidth="1"/>
    <col min="30" max="16384" width="8.7265625" hidden="1"/>
  </cols>
  <sheetData>
    <row r="1" spans="1:29" s="11" customFormat="1" ht="12.75" customHeight="1" x14ac:dyDescent="0.4">
      <c r="A1" s="91"/>
      <c r="B1" s="45"/>
      <c r="C1" s="44"/>
      <c r="D1" s="85"/>
      <c r="E1" s="44"/>
      <c r="F1" s="44"/>
      <c r="G1" s="44"/>
      <c r="H1" s="44"/>
      <c r="I1" s="44"/>
      <c r="J1" s="44"/>
      <c r="K1" s="44"/>
      <c r="L1" s="44"/>
      <c r="M1" s="44"/>
      <c r="N1" s="44"/>
      <c r="O1" s="44"/>
      <c r="P1" s="44"/>
      <c r="Q1" s="44"/>
      <c r="R1" s="44"/>
      <c r="S1" s="44"/>
      <c r="T1" s="44"/>
      <c r="U1" s="44"/>
      <c r="V1" s="44"/>
      <c r="W1" s="44"/>
      <c r="X1" s="44"/>
      <c r="Y1" s="44"/>
      <c r="Z1" s="44"/>
      <c r="AA1" s="44"/>
      <c r="AB1" s="44"/>
      <c r="AC1" s="44"/>
    </row>
    <row r="2" spans="1:29" s="11" customFormat="1" x14ac:dyDescent="0.4">
      <c r="A2" s="91"/>
      <c r="B2" s="44"/>
      <c r="C2" s="44"/>
      <c r="D2" s="85"/>
      <c r="E2" s="44"/>
      <c r="F2" s="44"/>
      <c r="G2" s="44"/>
      <c r="H2" s="44"/>
      <c r="I2" s="44"/>
      <c r="J2" s="44"/>
      <c r="K2" s="44"/>
      <c r="L2" s="44"/>
      <c r="M2" s="44"/>
      <c r="N2" s="44"/>
      <c r="O2" s="44"/>
      <c r="P2" s="44"/>
      <c r="Q2" s="44"/>
      <c r="R2" s="44"/>
      <c r="S2" s="44"/>
      <c r="T2" s="44"/>
      <c r="U2" s="44"/>
      <c r="V2" s="44"/>
      <c r="W2" s="44"/>
      <c r="X2" s="44"/>
      <c r="Y2" s="44"/>
      <c r="Z2" s="44"/>
      <c r="AA2" s="44"/>
      <c r="AB2" s="44"/>
      <c r="AC2" s="44"/>
    </row>
    <row r="3" spans="1:29" s="82" customFormat="1" x14ac:dyDescent="0.4">
      <c r="A3" s="92"/>
      <c r="D3" s="86"/>
    </row>
    <row r="4" spans="1:29" x14ac:dyDescent="0.4">
      <c r="A4" s="66"/>
      <c r="B4" s="5"/>
      <c r="C4" s="5"/>
      <c r="D4" s="87"/>
    </row>
    <row r="5" spans="1:29" x14ac:dyDescent="0.4">
      <c r="A5" s="66"/>
      <c r="B5" s="102" t="s">
        <v>136</v>
      </c>
      <c r="C5" s="102"/>
      <c r="D5" s="87"/>
    </row>
    <row r="6" spans="1:29" x14ac:dyDescent="0.4">
      <c r="A6" s="93">
        <v>1</v>
      </c>
      <c r="B6" s="73" t="s">
        <v>137</v>
      </c>
      <c r="C6" s="46"/>
      <c r="D6" s="87"/>
    </row>
    <row r="7" spans="1:29" x14ac:dyDescent="0.4">
      <c r="A7" s="93">
        <v>2</v>
      </c>
      <c r="B7" s="73" t="s">
        <v>138</v>
      </c>
      <c r="C7" s="62"/>
      <c r="D7" s="87"/>
    </row>
    <row r="8" spans="1:29" x14ac:dyDescent="0.4">
      <c r="A8" s="93">
        <v>3</v>
      </c>
      <c r="B8" s="73" t="s">
        <v>139</v>
      </c>
      <c r="C8" s="62"/>
      <c r="D8" s="87"/>
    </row>
    <row r="9" spans="1:29" x14ac:dyDescent="0.4">
      <c r="A9" s="93">
        <v>4</v>
      </c>
      <c r="B9" s="73" t="s">
        <v>140</v>
      </c>
      <c r="C9" s="49"/>
      <c r="D9" s="87"/>
    </row>
    <row r="10" spans="1:29" x14ac:dyDescent="0.4">
      <c r="A10" s="93">
        <v>5</v>
      </c>
      <c r="B10" s="73" t="s">
        <v>141</v>
      </c>
      <c r="C10" s="76"/>
      <c r="D10" s="87"/>
    </row>
    <row r="11" spans="1:29" x14ac:dyDescent="0.4">
      <c r="A11" s="93">
        <v>6</v>
      </c>
      <c r="B11" s="73" t="s">
        <v>107</v>
      </c>
      <c r="C11" s="49"/>
      <c r="D11" s="88" t="str">
        <f>IFERROR(_xlfn.XLOOKUP(C11,'Apoio_ Suitability'!$B$3:$B$53,'Apoio_ Suitability'!$D$3:$D$53),"")</f>
        <v/>
      </c>
    </row>
    <row r="12" spans="1:29" ht="32.4" x14ac:dyDescent="0.4">
      <c r="A12" s="93">
        <v>7</v>
      </c>
      <c r="B12" s="83" t="s">
        <v>52</v>
      </c>
      <c r="C12" s="77"/>
      <c r="D12" s="88" t="str">
        <f>IFERROR(_xlfn.XLOOKUP(C12,'Apoio_ Suitability'!$B$3:$B$53,'Apoio_ Suitability'!$D$3:$D$53),"")</f>
        <v/>
      </c>
    </row>
    <row r="13" spans="1:29" x14ac:dyDescent="0.4">
      <c r="A13" s="93">
        <v>8</v>
      </c>
      <c r="B13" s="73" t="s">
        <v>108</v>
      </c>
      <c r="C13" s="77"/>
      <c r="D13" s="88" t="str">
        <f>IFERROR(_xlfn.XLOOKUP(C13,'Apoio_ Suitability'!$B$3:$B$53,'Apoio_ Suitability'!$D$3:$D$53),"")</f>
        <v/>
      </c>
    </row>
    <row r="14" spans="1:29" x14ac:dyDescent="0.4">
      <c r="A14" s="93">
        <v>9</v>
      </c>
      <c r="B14" s="73" t="s">
        <v>119</v>
      </c>
      <c r="C14" s="77"/>
      <c r="D14" s="88" t="str">
        <f>IFERROR(_xlfn.XLOOKUP(C14,'Apoio_ Suitability'!$B$3:$B$53,'Apoio_ Suitability'!$D$3:$D$53),"")</f>
        <v/>
      </c>
    </row>
    <row r="15" spans="1:29" x14ac:dyDescent="0.4">
      <c r="A15" s="93">
        <v>10</v>
      </c>
      <c r="B15" s="73" t="s">
        <v>109</v>
      </c>
      <c r="C15" s="77"/>
      <c r="D15" s="88" t="str">
        <f>IFERROR(_xlfn.XLOOKUP(C15,'Apoio_ Suitability'!$B$3:$B$53,'Apoio_ Suitability'!$D$3:$D$53),"")</f>
        <v/>
      </c>
    </row>
    <row r="16" spans="1:29" x14ac:dyDescent="0.4">
      <c r="A16" s="93">
        <v>11</v>
      </c>
      <c r="B16" s="73" t="s">
        <v>53</v>
      </c>
      <c r="C16" s="78"/>
      <c r="D16" s="88" t="str">
        <f>IFERROR(_xlfn.XLOOKUP(C16,'Apoio_ Suitability'!$B$3:$B$53,'Apoio_ Suitability'!$D$3:$D$53),"")</f>
        <v/>
      </c>
    </row>
    <row r="17" spans="1:4" x14ac:dyDescent="0.4">
      <c r="A17" s="93">
        <v>12</v>
      </c>
      <c r="B17" s="73" t="s">
        <v>111</v>
      </c>
      <c r="C17" s="79" t="str">
        <f>IFERROR(_xlfn.XLOOKUP(B17,'Apoio_ Suitability'!$B$3:$B$53,'Apoio_ Suitability'!$D$3:$D$53),"")</f>
        <v/>
      </c>
      <c r="D17" s="88" t="str">
        <f>IFERROR(_xlfn.XLOOKUP(C17,'Apoio_ Suitability'!$B$3:$B$53,'Apoio_ Suitability'!$D$3:$D$53),"")</f>
        <v/>
      </c>
    </row>
    <row r="18" spans="1:4" x14ac:dyDescent="0.4">
      <c r="A18" s="93"/>
      <c r="B18" s="66" t="s">
        <v>86</v>
      </c>
      <c r="C18" s="75"/>
      <c r="D18" s="88">
        <f>IF(C18="X",'Apoio_ Suitability'!D33,0)</f>
        <v>0</v>
      </c>
    </row>
    <row r="19" spans="1:4" x14ac:dyDescent="0.4">
      <c r="A19" s="93"/>
      <c r="B19" s="66" t="s">
        <v>87</v>
      </c>
      <c r="C19" s="77"/>
      <c r="D19" s="88">
        <f>IF(C19="X",'Apoio_ Suitability'!D34,0)</f>
        <v>0</v>
      </c>
    </row>
    <row r="20" spans="1:4" x14ac:dyDescent="0.4">
      <c r="A20" s="93"/>
      <c r="B20" s="66" t="s">
        <v>88</v>
      </c>
      <c r="C20" s="77"/>
      <c r="D20" s="88">
        <f>IF(C20="X",'Apoio_ Suitability'!D35,0)</f>
        <v>0</v>
      </c>
    </row>
    <row r="21" spans="1:4" x14ac:dyDescent="0.4">
      <c r="A21" s="93"/>
      <c r="B21" s="66" t="s">
        <v>89</v>
      </c>
      <c r="C21" s="77"/>
      <c r="D21" s="88">
        <f>IF(C21="X",'Apoio_ Suitability'!D36,0)</f>
        <v>0</v>
      </c>
    </row>
    <row r="22" spans="1:4" x14ac:dyDescent="0.4">
      <c r="A22" s="93"/>
      <c r="B22" s="66" t="s">
        <v>90</v>
      </c>
      <c r="C22" s="77"/>
      <c r="D22" s="88">
        <f>IF(C22="X",'Apoio_ Suitability'!D37,0)</f>
        <v>0</v>
      </c>
    </row>
    <row r="23" spans="1:4" x14ac:dyDescent="0.4">
      <c r="A23" s="93"/>
      <c r="B23" s="66" t="s">
        <v>91</v>
      </c>
      <c r="C23" s="78"/>
      <c r="D23" s="88">
        <f>IF(C23="X",'Apoio_ Suitability'!D38,0)</f>
        <v>0</v>
      </c>
    </row>
    <row r="24" spans="1:4" x14ac:dyDescent="0.4">
      <c r="A24" s="93">
        <v>13</v>
      </c>
      <c r="B24" s="73" t="s">
        <v>142</v>
      </c>
      <c r="C24" s="79" t="str">
        <f>IFERROR(_xlfn.XLOOKUP(B24,'Apoio_ Suitability'!$B$3:$B$53,'Apoio_ Suitability'!$D$3:$D$53),"")</f>
        <v/>
      </c>
      <c r="D24" s="88" t="str">
        <f>IFERROR(_xlfn.XLOOKUP(C24,'Apoio_ Suitability'!$B$3:$B$53,'Apoio_ Suitability'!$D$3:$D$53),"")</f>
        <v/>
      </c>
    </row>
    <row r="25" spans="1:4" x14ac:dyDescent="0.4">
      <c r="A25" s="93"/>
      <c r="B25" s="66" t="s">
        <v>93</v>
      </c>
      <c r="C25" s="78"/>
      <c r="D25" s="88">
        <f>IF(C25="X",'Apoio_ Suitability'!D40,0)</f>
        <v>0</v>
      </c>
    </row>
    <row r="26" spans="1:4" x14ac:dyDescent="0.4">
      <c r="A26" s="93"/>
      <c r="B26" s="66" t="s">
        <v>94</v>
      </c>
      <c r="C26" s="75"/>
      <c r="D26" s="88">
        <f>IF(C26="X",'Apoio_ Suitability'!D41,0)</f>
        <v>0</v>
      </c>
    </row>
    <row r="27" spans="1:4" x14ac:dyDescent="0.4">
      <c r="A27" s="93"/>
      <c r="B27" s="66" t="s">
        <v>95</v>
      </c>
      <c r="C27" s="78"/>
      <c r="D27" s="88">
        <f>IF(C27="X",'Apoio_ Suitability'!D42,0)</f>
        <v>0</v>
      </c>
    </row>
    <row r="28" spans="1:4" x14ac:dyDescent="0.4">
      <c r="A28" s="93"/>
      <c r="B28" s="66" t="s">
        <v>96</v>
      </c>
      <c r="C28" s="75"/>
      <c r="D28" s="88">
        <f>IF(C28="X",'Apoio_ Suitability'!D43,0)</f>
        <v>0</v>
      </c>
    </row>
    <row r="29" spans="1:4" x14ac:dyDescent="0.4">
      <c r="A29" s="93"/>
      <c r="B29" s="66" t="s">
        <v>97</v>
      </c>
      <c r="C29" s="78"/>
      <c r="D29" s="88">
        <f>IF(C29="X",'Apoio_ Suitability'!D44,0)</f>
        <v>0</v>
      </c>
    </row>
    <row r="30" spans="1:4" x14ac:dyDescent="0.4">
      <c r="A30" s="93"/>
      <c r="B30" s="66" t="s">
        <v>98</v>
      </c>
      <c r="C30" s="81"/>
      <c r="D30" s="88">
        <f>IF(C30="X",'Apoio_ Suitability'!D45,0)</f>
        <v>0</v>
      </c>
    </row>
    <row r="31" spans="1:4" x14ac:dyDescent="0.4">
      <c r="A31" s="93"/>
      <c r="B31" s="66" t="s">
        <v>99</v>
      </c>
      <c r="C31" s="75"/>
      <c r="D31" s="88">
        <f>IF(C31="X",'Apoio_ Suitability'!D46,0)</f>
        <v>0</v>
      </c>
    </row>
    <row r="32" spans="1:4" x14ac:dyDescent="0.4">
      <c r="A32" s="93"/>
      <c r="B32" s="66" t="s">
        <v>100</v>
      </c>
      <c r="C32" s="78"/>
      <c r="D32" s="88">
        <f>IF(C32="X",'Apoio_ Suitability'!D47,0)</f>
        <v>0</v>
      </c>
    </row>
    <row r="33" spans="1:4" x14ac:dyDescent="0.4">
      <c r="A33" s="93"/>
      <c r="B33" s="66" t="s">
        <v>101</v>
      </c>
      <c r="C33" s="81"/>
      <c r="D33" s="88">
        <f>IF(C33="X",'Apoio_ Suitability'!D48,0)</f>
        <v>0</v>
      </c>
    </row>
    <row r="34" spans="1:4" ht="33" thickBot="1" x14ac:dyDescent="0.45">
      <c r="A34" s="93">
        <v>14</v>
      </c>
      <c r="B34" s="74" t="s">
        <v>54</v>
      </c>
      <c r="C34" s="80" t="s">
        <v>103</v>
      </c>
      <c r="D34" s="88">
        <f>IFERROR(_xlfn.XLOOKUP(C34,'Apoio_ Suitability'!$B$3:$B$53,'Apoio_ Suitability'!$D$3:$D$53),"")</f>
        <v>0</v>
      </c>
    </row>
    <row r="35" spans="1:4" ht="18.600000000000001" thickBot="1" x14ac:dyDescent="0.45">
      <c r="A35" s="93"/>
      <c r="B35" s="65" t="s">
        <v>1</v>
      </c>
      <c r="C35" s="72" t="str">
        <f>IF($D$35&lt;='Apoio_ Suitability'!$D$61,'Apoio_ Suitability'!B61,
IF($D$35&lt;='Apoio_ Suitability'!$D$62,'Apoio_ Suitability'!B62,
IF($D$35&lt;='Apoio_ Suitability'!$D$63,'Apoio_ Suitability'!B63,
IF($D$35&lt;='Apoio_ Suitability'!$D$64,'Apoio_ Suitability'!B64,
IF($D$35&lt;='Apoio_ Suitability'!$D$65,'Apoio_ Suitability'!B65)))))</f>
        <v>Conservador</v>
      </c>
      <c r="D35" s="88">
        <f>SUM($D$11:$D$34)</f>
        <v>0</v>
      </c>
    </row>
    <row r="36" spans="1:4" hidden="1" x14ac:dyDescent="0.4">
      <c r="A36" s="66"/>
      <c r="B36" s="5"/>
      <c r="C36" s="5"/>
      <c r="D36" s="87"/>
    </row>
    <row r="37" spans="1:4" hidden="1" x14ac:dyDescent="0.4">
      <c r="A37" s="66"/>
      <c r="B37" s="5"/>
      <c r="C37" s="5"/>
      <c r="D37" s="87"/>
    </row>
    <row r="38" spans="1:4" hidden="1" x14ac:dyDescent="0.4">
      <c r="A38" s="66"/>
      <c r="B38" s="5"/>
      <c r="C38" s="5"/>
      <c r="D38" s="87"/>
    </row>
  </sheetData>
  <sheetProtection algorithmName="SHA-512" hashValue="1p5HnuOr+m3U7gnY2emm3m815bFEO+Xj1D24qBl3tG19pEWpPCBnkZf62gxVDEwTGK9fFc1zyLDjwl8uxdVfxw==" saltValue="Hc6vkzHaXoJZQLuQSlXRAw==" spinCount="100000" sheet="1" objects="1" scenarios="1"/>
  <mergeCells count="1">
    <mergeCell ref="B5:C5"/>
  </mergeCell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9">
        <x14:dataValidation type="list" allowBlank="1" showInputMessage="1" showErrorMessage="1" xr:uid="{190C22DD-6CC3-4AF9-9F4C-95965DD77682}">
          <x14:formula1>
            <xm:f>'Apoio_ Suitability'!$C$40:$C$48</xm:f>
          </x14:formula1>
          <xm:sqref>C25:C33</xm:sqref>
        </x14:dataValidation>
        <x14:dataValidation type="list" allowBlank="1" showInputMessage="1" showErrorMessage="1" xr:uid="{F727D905-8EFA-4770-92DF-C9F871C2AB1C}">
          <x14:formula1>
            <xm:f>'Apoio_ Suitability'!$C$33:$C$38</xm:f>
          </x14:formula1>
          <xm:sqref>C18:C23</xm:sqref>
        </x14:dataValidation>
        <x14:dataValidation type="list" allowBlank="1" showInputMessage="1" showErrorMessage="1" xr:uid="{552436F8-C9E3-4B9D-972C-6AE0C15850C6}">
          <x14:formula1>
            <xm:f>'Apoio_ Suitability'!$B$29:$B$31</xm:f>
          </x14:formula1>
          <xm:sqref>C16</xm:sqref>
        </x14:dataValidation>
        <x14:dataValidation type="list" allowBlank="1" showInputMessage="1" showErrorMessage="1" xr:uid="{2971E7DC-D5ED-4736-9380-9D389AC558A6}">
          <x14:formula1>
            <xm:f>'Apoio_ Suitability'!$B$23:$B$27</xm:f>
          </x14:formula1>
          <xm:sqref>C15</xm:sqref>
        </x14:dataValidation>
        <x14:dataValidation type="list" allowBlank="1" showInputMessage="1" showErrorMessage="1" xr:uid="{3D400A83-1923-4BD9-AD4E-239A139E2E18}">
          <x14:formula1>
            <xm:f>'Apoio_ Suitability'!$B$17:$B$21</xm:f>
          </x14:formula1>
          <xm:sqref>C14</xm:sqref>
        </x14:dataValidation>
        <x14:dataValidation type="list" allowBlank="1" showInputMessage="1" showErrorMessage="1" xr:uid="{D4D9E640-0D67-4C2E-910F-7FF4B84906F6}">
          <x14:formula1>
            <xm:f>'Apoio_ Suitability'!$B$12:$B$15</xm:f>
          </x14:formula1>
          <xm:sqref>C13</xm:sqref>
        </x14:dataValidation>
        <x14:dataValidation type="list" allowBlank="1" showInputMessage="1" showErrorMessage="1" xr:uid="{359E7A78-7A01-4A3D-A8CA-6BCCC3AF8CDE}">
          <x14:formula1>
            <xm:f>'Apoio_ Suitability'!$B$50:$B$53</xm:f>
          </x14:formula1>
          <xm:sqref>C34</xm:sqref>
        </x14:dataValidation>
        <x14:dataValidation type="list" allowBlank="1" showInputMessage="1" showErrorMessage="1" xr:uid="{DE805613-C958-4FE7-99F7-B2CD465CA42E}">
          <x14:formula1>
            <xm:f>'Apoio_ Suitability'!$B$8:$B$10</xm:f>
          </x14:formula1>
          <xm:sqref>C12</xm:sqref>
        </x14:dataValidation>
        <x14:dataValidation type="list" allowBlank="1" showInputMessage="1" showErrorMessage="1" xr:uid="{E2A50CFC-9113-4638-8B4E-99C919C10E51}">
          <x14:formula1>
            <xm:f>'Apoio_ Suitability'!$B$3:$B$6</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4DD8B-70FD-41B8-89A3-36B71B0F2FB4}">
  <sheetPr>
    <pageSetUpPr autoPageBreaks="0"/>
  </sheetPr>
  <dimension ref="A1:AD62"/>
  <sheetViews>
    <sheetView showGridLines="0" showRowColHeaders="0" topLeftCell="A9" zoomScale="90" zoomScaleNormal="90" workbookViewId="0">
      <selection activeCell="B41" sqref="B41:J42"/>
    </sheetView>
  </sheetViews>
  <sheetFormatPr defaultColWidth="0" defaultRowHeight="0" customHeight="1" zeroHeight="1" x14ac:dyDescent="0.4"/>
  <cols>
    <col min="1" max="1" width="5.36328125" style="4" customWidth="1"/>
    <col min="2" max="2" width="20.453125" style="4" customWidth="1"/>
    <col min="3" max="3" width="23.81640625" style="4" customWidth="1"/>
    <col min="4" max="4" width="19.36328125" style="4" customWidth="1"/>
    <col min="5" max="5" width="7" style="4" customWidth="1"/>
    <col min="6" max="6" width="9.1796875" style="4" customWidth="1"/>
    <col min="7" max="7" width="12.36328125" style="4" customWidth="1"/>
    <col min="8" max="8" width="10.7265625" style="4" customWidth="1"/>
    <col min="9" max="9" width="20.6328125" style="4" bestFit="1" customWidth="1"/>
    <col min="10" max="10" width="14.453125" style="4" customWidth="1"/>
    <col min="11" max="11" width="9.08984375" style="4" customWidth="1"/>
    <col min="12" max="30" width="8.90625" style="4" hidden="1" customWidth="1"/>
    <col min="31" max="16384" width="0" style="4" hidden="1"/>
  </cols>
  <sheetData>
    <row r="1" spans="1:27" s="11" customFormat="1" ht="12.75" customHeight="1" x14ac:dyDescent="0.4">
      <c r="A1" s="44"/>
      <c r="B1" s="45"/>
      <c r="C1" s="44"/>
      <c r="D1" s="44"/>
      <c r="E1" s="44"/>
      <c r="F1" s="44"/>
      <c r="G1" s="44"/>
      <c r="H1" s="44"/>
      <c r="I1" s="44"/>
      <c r="J1" s="44"/>
      <c r="K1" s="44"/>
      <c r="L1" s="44"/>
      <c r="M1" s="44"/>
      <c r="N1" s="44"/>
      <c r="O1" s="44"/>
      <c r="P1" s="44"/>
      <c r="Q1" s="44"/>
      <c r="R1" s="44"/>
      <c r="S1" s="44"/>
      <c r="T1" s="44"/>
      <c r="U1" s="44"/>
      <c r="V1" s="44"/>
      <c r="W1" s="44"/>
      <c r="X1" s="44"/>
      <c r="Y1" s="44"/>
      <c r="Z1" s="44"/>
      <c r="AA1" s="44"/>
    </row>
    <row r="2" spans="1:27" s="11" customFormat="1" ht="16.2" x14ac:dyDescent="0.4">
      <c r="A2" s="44"/>
      <c r="B2" s="44"/>
      <c r="C2" s="44"/>
      <c r="D2" s="44"/>
      <c r="E2" s="44"/>
      <c r="F2" s="44"/>
      <c r="G2" s="44"/>
      <c r="H2" s="44"/>
      <c r="I2" s="44"/>
      <c r="J2" s="44"/>
      <c r="K2" s="44"/>
      <c r="L2" s="44"/>
      <c r="M2" s="44"/>
      <c r="N2" s="44"/>
      <c r="O2" s="44"/>
      <c r="P2" s="44"/>
      <c r="Q2" s="44"/>
      <c r="R2" s="44"/>
      <c r="S2" s="44"/>
      <c r="T2" s="44"/>
      <c r="U2" s="44"/>
      <c r="V2" s="44"/>
      <c r="W2" s="44"/>
      <c r="X2" s="44"/>
      <c r="Y2" s="44"/>
      <c r="Z2" s="44"/>
      <c r="AA2" s="44"/>
    </row>
    <row r="3" spans="1:27" s="82" customFormat="1" ht="16.2" x14ac:dyDescent="0.4"/>
    <row r="4" spans="1:27" ht="16.2" x14ac:dyDescent="0.4">
      <c r="A4" s="5"/>
      <c r="B4" s="5"/>
      <c r="C4" s="5"/>
      <c r="D4" s="5"/>
      <c r="E4" s="5"/>
      <c r="F4" s="5"/>
      <c r="G4" s="5"/>
      <c r="H4" s="5"/>
      <c r="I4" s="5"/>
      <c r="J4" s="5"/>
      <c r="K4" s="5"/>
      <c r="L4" s="5"/>
      <c r="M4" s="5"/>
      <c r="N4" s="5"/>
      <c r="O4" s="5"/>
      <c r="P4" s="5"/>
      <c r="Q4" s="5"/>
      <c r="R4" s="5"/>
      <c r="S4" s="5"/>
      <c r="T4" s="5"/>
      <c r="U4" s="5"/>
    </row>
    <row r="5" spans="1:27" s="5" customFormat="1" ht="16.2" x14ac:dyDescent="0.4">
      <c r="F5" s="5" t="s">
        <v>2</v>
      </c>
      <c r="G5" s="7">
        <f ca="1">ROUNDDOWN(((TODAY()-'1 - Informações Básicas'!C6)/365.25),0)</f>
        <v>125</v>
      </c>
      <c r="I5" s="5" t="s">
        <v>30</v>
      </c>
      <c r="J5" s="8">
        <f>_xlfn.XLOOKUP('1 - Informações Básicas'!C35,Apoio!$A$2:$A$6,Apoio!$B$2:$B$6)</f>
        <v>0.04</v>
      </c>
    </row>
    <row r="6" spans="1:27" s="5" customFormat="1" ht="18" customHeight="1" x14ac:dyDescent="0.4"/>
    <row r="7" spans="1:27" ht="18" customHeight="1" x14ac:dyDescent="0.4">
      <c r="A7" s="5"/>
      <c r="B7" s="5" t="s">
        <v>4</v>
      </c>
      <c r="C7" s="63">
        <f>'1 - Informações Básicas'!C7*Apoio!B16</f>
        <v>0</v>
      </c>
      <c r="D7" s="5"/>
      <c r="E7" s="5"/>
      <c r="F7" s="5"/>
      <c r="G7" s="5"/>
      <c r="H7" s="5"/>
      <c r="I7" s="5"/>
      <c r="J7" s="5"/>
      <c r="K7" s="5"/>
      <c r="L7" s="5"/>
      <c r="M7" s="5"/>
      <c r="N7" s="5"/>
      <c r="O7" s="5"/>
      <c r="P7" s="5"/>
      <c r="Q7" s="5"/>
      <c r="R7" s="5"/>
      <c r="S7" s="5"/>
      <c r="T7" s="5"/>
      <c r="U7" s="5"/>
    </row>
    <row r="8" spans="1:27" ht="18" customHeight="1" x14ac:dyDescent="0.4">
      <c r="A8" s="5"/>
      <c r="B8" s="5" t="s">
        <v>5</v>
      </c>
      <c r="C8" s="8" t="str">
        <f>IFERROR(C7/'1 - Informações Básicas'!C10,"")</f>
        <v/>
      </c>
      <c r="D8" s="5"/>
      <c r="E8" s="5"/>
      <c r="F8" s="5"/>
      <c r="G8" s="5"/>
      <c r="H8" s="5"/>
      <c r="I8" s="5"/>
      <c r="J8" s="5"/>
      <c r="K8" s="5"/>
      <c r="L8" s="5"/>
      <c r="M8" s="5"/>
      <c r="N8" s="5"/>
      <c r="O8" s="5"/>
      <c r="P8" s="5"/>
      <c r="Q8" s="5"/>
      <c r="R8" s="5"/>
      <c r="S8" s="5"/>
      <c r="T8" s="5"/>
      <c r="U8" s="5"/>
    </row>
    <row r="9" spans="1:27" ht="18" customHeight="1" x14ac:dyDescent="0.4">
      <c r="A9" s="5"/>
      <c r="B9" s="5" t="s">
        <v>3</v>
      </c>
      <c r="C9" s="63">
        <f ca="1">C13*Apoio!B16</f>
        <v>0</v>
      </c>
      <c r="D9" s="5"/>
      <c r="E9" s="5"/>
      <c r="F9" s="5"/>
      <c r="G9" s="5"/>
      <c r="H9" s="5"/>
      <c r="I9" s="5"/>
      <c r="J9" s="5"/>
      <c r="K9" s="5"/>
      <c r="L9" s="5"/>
      <c r="M9" s="5"/>
      <c r="N9" s="5"/>
      <c r="O9" s="5"/>
      <c r="P9" s="5"/>
      <c r="Q9" s="5"/>
      <c r="R9" s="5"/>
      <c r="S9" s="5"/>
      <c r="T9" s="5"/>
      <c r="U9" s="5"/>
    </row>
    <row r="10" spans="1:27" ht="18" customHeight="1" x14ac:dyDescent="0.4">
      <c r="A10" s="5"/>
      <c r="B10" s="5" t="s">
        <v>7</v>
      </c>
      <c r="C10" s="63">
        <f>'1 - Informações Básicas'!C10/Apoio!B16</f>
        <v>0</v>
      </c>
      <c r="D10" s="5"/>
      <c r="E10" s="5"/>
      <c r="F10" s="5"/>
      <c r="G10" s="5"/>
      <c r="H10" s="5"/>
      <c r="I10" s="5"/>
      <c r="J10" s="5"/>
      <c r="K10" s="5"/>
      <c r="L10" s="5"/>
      <c r="M10" s="5"/>
      <c r="N10" s="5"/>
      <c r="O10" s="5"/>
      <c r="P10" s="5"/>
      <c r="Q10" s="5"/>
      <c r="R10" s="5"/>
      <c r="S10" s="5"/>
      <c r="T10" s="5"/>
      <c r="U10" s="5"/>
    </row>
    <row r="11" spans="1:27" ht="16.2" x14ac:dyDescent="0.4">
      <c r="A11" s="5"/>
      <c r="B11" s="5" t="s">
        <v>6</v>
      </c>
      <c r="C11" s="63">
        <f ca="1">PMT(Apoio!B13,Apoio!B10/30,'1 - Informações Básicas'!C7,-'2 - Gráficos'!C10)</f>
        <v>0</v>
      </c>
      <c r="D11" s="5"/>
      <c r="E11" s="5"/>
      <c r="F11" s="5"/>
      <c r="G11" s="5"/>
      <c r="H11" s="5"/>
      <c r="I11" s="5"/>
      <c r="J11" s="5"/>
      <c r="K11" s="5"/>
      <c r="L11" s="5"/>
      <c r="M11" s="5"/>
      <c r="N11" s="5"/>
      <c r="O11" s="5"/>
      <c r="P11" s="5"/>
      <c r="Q11" s="5"/>
      <c r="R11" s="5"/>
      <c r="S11" s="5"/>
      <c r="T11" s="5"/>
      <c r="U11" s="5"/>
    </row>
    <row r="12" spans="1:27" ht="16.2" x14ac:dyDescent="0.4">
      <c r="A12" s="5"/>
      <c r="B12" s="5" t="s">
        <v>8</v>
      </c>
      <c r="C12" s="9" t="e">
        <f ca="1">Apoio!B25</f>
        <v>#NUM!</v>
      </c>
      <c r="D12" s="5"/>
      <c r="E12" s="5"/>
      <c r="F12" s="5"/>
      <c r="G12" s="5"/>
      <c r="H12" s="5"/>
      <c r="I12" s="5"/>
      <c r="J12" s="5"/>
      <c r="K12" s="5"/>
      <c r="L12" s="5"/>
      <c r="M12" s="5"/>
      <c r="N12" s="5"/>
      <c r="O12" s="5"/>
      <c r="P12" s="5"/>
      <c r="Q12" s="5"/>
      <c r="R12" s="5"/>
      <c r="S12" s="5"/>
      <c r="T12" s="5"/>
      <c r="U12" s="5"/>
    </row>
    <row r="13" spans="1:27" ht="36" customHeight="1" x14ac:dyDescent="0.4">
      <c r="A13" s="5"/>
      <c r="B13" s="5" t="s">
        <v>16</v>
      </c>
      <c r="C13" s="63">
        <f ca="1">FV(Apoio!B13,Apoio!B10/30,-'1 - Informações Básicas'!C8,-'1 - Informações Básicas'!C7)</f>
        <v>0</v>
      </c>
      <c r="D13" s="5"/>
      <c r="E13" s="5"/>
      <c r="F13" s="5"/>
      <c r="G13" s="5"/>
      <c r="H13" s="5"/>
      <c r="I13" s="5"/>
      <c r="J13" s="5"/>
      <c r="K13" s="5"/>
      <c r="L13" s="5"/>
      <c r="M13" s="5"/>
      <c r="N13" s="5"/>
      <c r="O13" s="5"/>
      <c r="P13" s="5"/>
      <c r="Q13" s="5"/>
      <c r="R13" s="5"/>
      <c r="S13" s="5"/>
      <c r="T13" s="5"/>
      <c r="U13" s="5"/>
    </row>
    <row r="14" spans="1:27" ht="16.2" x14ac:dyDescent="0.4">
      <c r="A14" s="5"/>
      <c r="B14" s="5" t="s">
        <v>29</v>
      </c>
      <c r="C14" s="41" t="str">
        <f ca="1">IFERROR((1+Apoio!B20)^12-1,"")</f>
        <v/>
      </c>
      <c r="D14" s="5"/>
      <c r="E14" s="5"/>
      <c r="F14" s="5"/>
      <c r="G14" s="5"/>
      <c r="H14" s="5"/>
      <c r="I14" s="5"/>
      <c r="J14" s="5"/>
      <c r="K14" s="5"/>
      <c r="L14" s="5"/>
      <c r="M14" s="5"/>
      <c r="N14" s="5"/>
      <c r="O14" s="5"/>
      <c r="P14" s="5"/>
      <c r="Q14" s="5"/>
      <c r="R14" s="5"/>
      <c r="S14" s="5"/>
      <c r="T14" s="5"/>
      <c r="U14" s="5"/>
    </row>
    <row r="15" spans="1:27" ht="16.2" x14ac:dyDescent="0.4">
      <c r="A15" s="5"/>
      <c r="B15" s="5"/>
      <c r="C15" s="5"/>
      <c r="D15" s="5"/>
      <c r="E15" s="5"/>
      <c r="F15" s="5"/>
      <c r="G15" s="5"/>
      <c r="H15" s="5"/>
      <c r="I15" s="5"/>
      <c r="J15" s="5"/>
      <c r="K15" s="5"/>
      <c r="L15" s="5"/>
      <c r="M15" s="5"/>
      <c r="N15" s="5"/>
      <c r="O15" s="5"/>
      <c r="P15" s="5"/>
      <c r="Q15" s="5"/>
      <c r="R15" s="5"/>
      <c r="S15" s="5"/>
      <c r="T15" s="5"/>
      <c r="U15" s="5"/>
    </row>
    <row r="16" spans="1:27" ht="16.2" x14ac:dyDescent="0.4">
      <c r="A16" s="5"/>
      <c r="B16" s="5"/>
      <c r="C16" s="5"/>
      <c r="D16" s="5"/>
      <c r="E16" s="5"/>
      <c r="F16" s="5"/>
      <c r="G16" s="5"/>
      <c r="H16" s="5"/>
      <c r="I16" s="5"/>
      <c r="J16" s="5"/>
      <c r="K16" s="5"/>
      <c r="L16" s="5"/>
      <c r="M16" s="5"/>
      <c r="N16" s="5"/>
      <c r="O16" s="5"/>
      <c r="P16" s="5"/>
      <c r="Q16" s="5"/>
      <c r="R16" s="5"/>
      <c r="S16" s="5"/>
      <c r="T16" s="5"/>
      <c r="U16" s="5"/>
    </row>
    <row r="17" spans="1:21" ht="16.2" x14ac:dyDescent="0.4">
      <c r="A17" s="5"/>
      <c r="B17" s="5"/>
      <c r="C17" s="5"/>
      <c r="D17" s="5"/>
      <c r="E17" s="5"/>
      <c r="F17" s="5"/>
      <c r="G17" s="5"/>
      <c r="H17" s="5"/>
      <c r="I17" s="5"/>
      <c r="J17" s="5"/>
      <c r="K17" s="5"/>
      <c r="L17" s="5"/>
      <c r="M17" s="5"/>
      <c r="N17" s="5"/>
      <c r="O17" s="5"/>
      <c r="P17" s="5"/>
      <c r="Q17" s="5"/>
      <c r="R17" s="5"/>
      <c r="S17" s="5"/>
      <c r="T17" s="5"/>
      <c r="U17" s="5"/>
    </row>
    <row r="18" spans="1:21" ht="16.2" x14ac:dyDescent="0.4">
      <c r="A18" s="5"/>
      <c r="B18" s="5"/>
      <c r="C18" s="5"/>
      <c r="D18" s="5"/>
      <c r="E18" s="5"/>
      <c r="F18" s="5"/>
      <c r="G18" s="5"/>
      <c r="H18" s="5"/>
      <c r="I18" s="5"/>
      <c r="J18" s="5"/>
      <c r="K18" s="5"/>
      <c r="L18" s="5"/>
      <c r="M18" s="5"/>
      <c r="N18" s="5"/>
      <c r="O18" s="5"/>
      <c r="P18" s="5"/>
      <c r="Q18" s="5"/>
      <c r="R18" s="5"/>
      <c r="S18" s="5"/>
      <c r="T18" s="5"/>
      <c r="U18" s="5"/>
    </row>
    <row r="19" spans="1:21" ht="16.2" x14ac:dyDescent="0.4">
      <c r="A19" s="5"/>
      <c r="B19" s="5"/>
      <c r="C19" s="5"/>
      <c r="D19" s="5"/>
      <c r="E19" s="5"/>
      <c r="F19" s="5"/>
      <c r="G19" s="5"/>
      <c r="H19" s="5"/>
      <c r="I19" s="5"/>
      <c r="J19" s="5"/>
      <c r="K19" s="5"/>
      <c r="L19" s="5"/>
      <c r="M19" s="5"/>
      <c r="N19" s="5"/>
      <c r="O19" s="5"/>
      <c r="P19" s="5"/>
      <c r="Q19" s="5"/>
      <c r="R19" s="5"/>
      <c r="S19" s="5"/>
      <c r="T19" s="5"/>
      <c r="U19" s="5"/>
    </row>
    <row r="20" spans="1:21" ht="16.2" x14ac:dyDescent="0.4">
      <c r="A20" s="5"/>
      <c r="B20" s="5"/>
      <c r="C20" s="5"/>
      <c r="D20" s="5"/>
      <c r="E20" s="5"/>
      <c r="F20" s="5"/>
      <c r="G20" s="5"/>
      <c r="H20" s="5"/>
      <c r="I20" s="5"/>
      <c r="J20" s="5"/>
      <c r="K20" s="5"/>
      <c r="L20" s="5"/>
      <c r="M20" s="5"/>
      <c r="N20" s="5"/>
      <c r="O20" s="5"/>
      <c r="P20" s="5"/>
      <c r="Q20" s="5"/>
      <c r="R20" s="5"/>
      <c r="S20" s="5"/>
      <c r="T20" s="5"/>
      <c r="U20" s="5"/>
    </row>
    <row r="21" spans="1:21" ht="16.2" x14ac:dyDescent="0.4">
      <c r="A21" s="5"/>
      <c r="B21" s="5"/>
      <c r="C21" s="5"/>
      <c r="D21" s="5"/>
      <c r="E21" s="5"/>
      <c r="F21" s="5"/>
      <c r="G21" s="5"/>
      <c r="H21" s="5"/>
      <c r="I21" s="5"/>
      <c r="J21" s="5"/>
      <c r="K21" s="5"/>
      <c r="L21" s="5"/>
      <c r="M21" s="5"/>
      <c r="N21" s="5"/>
      <c r="O21" s="5"/>
      <c r="P21" s="5"/>
      <c r="Q21" s="5"/>
      <c r="R21" s="5"/>
      <c r="S21" s="5"/>
      <c r="T21" s="5"/>
      <c r="U21" s="5"/>
    </row>
    <row r="22" spans="1:21" ht="16.2" x14ac:dyDescent="0.4">
      <c r="A22" s="5"/>
      <c r="B22" s="5"/>
      <c r="C22" s="5"/>
      <c r="D22" s="5"/>
      <c r="E22" s="5"/>
      <c r="F22" s="5"/>
      <c r="G22" s="5"/>
      <c r="H22" s="5"/>
      <c r="I22" s="5"/>
      <c r="J22" s="5"/>
      <c r="K22" s="5"/>
      <c r="L22" s="5"/>
      <c r="M22" s="5"/>
      <c r="N22" s="5"/>
      <c r="O22" s="5"/>
      <c r="P22" s="5"/>
      <c r="Q22" s="5"/>
      <c r="R22" s="5"/>
      <c r="S22" s="5"/>
      <c r="T22" s="5"/>
      <c r="U22" s="5"/>
    </row>
    <row r="23" spans="1:21" ht="16.2" x14ac:dyDescent="0.4">
      <c r="A23" s="5"/>
      <c r="B23" s="66" t="s">
        <v>1</v>
      </c>
      <c r="C23" s="103" t="str">
        <f>'1 - Informações Básicas'!C35</f>
        <v>Conservador</v>
      </c>
      <c r="D23" s="103"/>
      <c r="E23" s="5"/>
      <c r="F23" s="5"/>
      <c r="G23" s="5"/>
      <c r="H23" s="5"/>
      <c r="I23" s="5"/>
      <c r="J23" s="5"/>
      <c r="K23" s="5"/>
      <c r="L23" s="5"/>
      <c r="M23" s="5"/>
      <c r="N23" s="5"/>
      <c r="O23" s="5"/>
      <c r="P23" s="5"/>
      <c r="Q23" s="5"/>
      <c r="R23" s="5"/>
      <c r="S23" s="5"/>
      <c r="T23" s="5"/>
      <c r="U23" s="5"/>
    </row>
    <row r="24" spans="1:21" ht="16.2" customHeight="1" x14ac:dyDescent="0.4">
      <c r="A24" s="5"/>
      <c r="B24" s="105" t="s">
        <v>125</v>
      </c>
      <c r="C24" s="104" t="str">
        <f>IF($C$23=Apoio_Carteira!$B$18,Apoio_Carteira!C18,
IF($C$23=Apoio_Carteira!$B$19,Apoio_Carteira!C19,
IF($C$23=Apoio_Carteira!$B$20,Apoio_Carteira!C20,
IF($C$23=Apoio_Carteira!$B$21,Apoio_Carteira!C21,
IF($C$23=Apoio_Carteira!$B$22,Apoio_Carteira!C22,"")))))</f>
        <v>Investidor que aceita um potencial de retorno menor em função do seu objetivo principal, que é conservar seu patrimônio. Por conta disso, geralmente não apresenta tolerância às oscilações do mercado em seus ativos.</v>
      </c>
      <c r="D24" s="104"/>
      <c r="E24" s="5"/>
      <c r="F24" s="5"/>
      <c r="G24" s="5"/>
      <c r="H24" s="5"/>
      <c r="I24" s="5"/>
      <c r="J24" s="5"/>
      <c r="K24" s="5"/>
      <c r="L24" s="5"/>
      <c r="M24" s="5"/>
      <c r="N24" s="5"/>
      <c r="O24" s="5"/>
      <c r="P24" s="5"/>
      <c r="Q24" s="5"/>
      <c r="R24" s="5"/>
      <c r="S24" s="5"/>
      <c r="T24" s="5"/>
      <c r="U24" s="5"/>
    </row>
    <row r="25" spans="1:21" ht="16.2" x14ac:dyDescent="0.4">
      <c r="A25" s="5"/>
      <c r="B25" s="105"/>
      <c r="C25" s="104"/>
      <c r="D25" s="104"/>
      <c r="E25" s="5"/>
      <c r="F25" s="5"/>
      <c r="G25" s="5"/>
      <c r="H25" s="5"/>
      <c r="I25" s="5"/>
      <c r="J25" s="5"/>
      <c r="K25" s="5"/>
      <c r="L25" s="5"/>
      <c r="M25" s="5"/>
      <c r="N25" s="5"/>
      <c r="O25" s="5"/>
      <c r="P25" s="5"/>
      <c r="Q25" s="5"/>
      <c r="R25" s="5"/>
      <c r="S25" s="5"/>
      <c r="T25" s="5"/>
      <c r="U25" s="5"/>
    </row>
    <row r="26" spans="1:21" ht="16.2" x14ac:dyDescent="0.4">
      <c r="A26" s="5"/>
      <c r="B26" s="105"/>
      <c r="C26" s="104"/>
      <c r="D26" s="104"/>
      <c r="E26" s="5"/>
      <c r="F26" s="5"/>
      <c r="G26" s="5"/>
      <c r="H26" s="5"/>
      <c r="I26" s="5"/>
      <c r="J26" s="5"/>
      <c r="K26" s="5"/>
      <c r="L26" s="5"/>
      <c r="M26" s="5"/>
      <c r="N26" s="5"/>
      <c r="O26" s="5"/>
      <c r="P26" s="5"/>
      <c r="Q26" s="5"/>
      <c r="R26" s="5"/>
      <c r="S26" s="5"/>
      <c r="T26" s="5"/>
      <c r="U26" s="5"/>
    </row>
    <row r="27" spans="1:21" ht="16.2" x14ac:dyDescent="0.4">
      <c r="A27" s="5"/>
      <c r="B27" s="105"/>
      <c r="C27" s="104"/>
      <c r="D27" s="104"/>
      <c r="E27" s="5"/>
      <c r="F27" s="5"/>
      <c r="G27" s="5"/>
      <c r="H27" s="5"/>
      <c r="I27" s="5"/>
      <c r="J27" s="5"/>
      <c r="K27" s="5"/>
      <c r="L27" s="5"/>
      <c r="M27" s="5"/>
      <c r="N27" s="5"/>
      <c r="O27" s="5"/>
      <c r="P27" s="5"/>
      <c r="Q27" s="5"/>
      <c r="R27" s="5"/>
      <c r="S27" s="5"/>
      <c r="T27" s="5"/>
      <c r="U27" s="5"/>
    </row>
    <row r="28" spans="1:21" ht="16.2" x14ac:dyDescent="0.4">
      <c r="A28" s="5"/>
      <c r="B28" s="105"/>
      <c r="C28" s="104"/>
      <c r="D28" s="104"/>
      <c r="E28" s="5"/>
      <c r="F28" s="5"/>
      <c r="G28" s="5"/>
      <c r="H28" s="5"/>
      <c r="I28" s="5"/>
      <c r="J28" s="5"/>
      <c r="K28" s="5"/>
      <c r="L28" s="5"/>
      <c r="M28" s="5"/>
      <c r="N28" s="5"/>
      <c r="O28" s="5"/>
      <c r="P28" s="5"/>
      <c r="Q28" s="5"/>
      <c r="R28" s="5"/>
      <c r="S28" s="5"/>
      <c r="T28" s="5"/>
      <c r="U28" s="5"/>
    </row>
    <row r="29" spans="1:21" ht="16.2" x14ac:dyDescent="0.4">
      <c r="A29" s="5"/>
      <c r="B29" s="105"/>
      <c r="C29" s="104"/>
      <c r="D29" s="104"/>
      <c r="E29" s="5"/>
      <c r="F29" s="5"/>
      <c r="G29" s="5"/>
      <c r="H29" s="5"/>
      <c r="I29" s="5"/>
      <c r="J29" s="5"/>
      <c r="K29" s="5"/>
      <c r="L29" s="5"/>
      <c r="M29" s="5"/>
      <c r="N29" s="5"/>
      <c r="O29" s="5"/>
      <c r="P29" s="5"/>
      <c r="Q29" s="5"/>
      <c r="R29" s="5"/>
      <c r="S29" s="5"/>
      <c r="T29" s="5"/>
      <c r="U29" s="5"/>
    </row>
    <row r="30" spans="1:21" ht="16.2" x14ac:dyDescent="0.4">
      <c r="A30" s="5"/>
      <c r="B30" s="105"/>
      <c r="C30" s="104"/>
      <c r="D30" s="104"/>
      <c r="E30" s="5"/>
      <c r="F30" s="5"/>
      <c r="G30" s="5"/>
      <c r="H30" s="5"/>
      <c r="I30" s="5"/>
      <c r="J30" s="5"/>
      <c r="K30" s="5"/>
      <c r="L30" s="5"/>
      <c r="M30" s="5"/>
      <c r="N30" s="5"/>
      <c r="O30" s="5"/>
      <c r="P30" s="5"/>
      <c r="Q30" s="5"/>
      <c r="R30" s="5"/>
      <c r="S30" s="5"/>
      <c r="T30" s="5"/>
      <c r="U30" s="5"/>
    </row>
    <row r="31" spans="1:21" ht="16.2" x14ac:dyDescent="0.4">
      <c r="A31" s="5"/>
      <c r="B31" s="105"/>
      <c r="C31" s="104"/>
      <c r="D31" s="104"/>
      <c r="E31" s="5"/>
      <c r="F31" s="5"/>
      <c r="G31" s="5"/>
      <c r="H31" s="5"/>
      <c r="I31" s="5"/>
      <c r="J31" s="5"/>
      <c r="K31" s="5"/>
      <c r="L31" s="5"/>
      <c r="M31" s="5"/>
      <c r="N31" s="5"/>
      <c r="O31" s="5"/>
      <c r="P31" s="5"/>
      <c r="Q31" s="5"/>
      <c r="R31" s="5"/>
      <c r="S31" s="5"/>
      <c r="T31" s="5"/>
      <c r="U31" s="5"/>
    </row>
    <row r="32" spans="1:21" ht="16.2" x14ac:dyDescent="0.4">
      <c r="A32" s="5"/>
      <c r="B32" s="5"/>
      <c r="C32" s="84"/>
      <c r="D32" s="84"/>
      <c r="E32" s="5"/>
      <c r="F32" s="5"/>
      <c r="G32" s="5"/>
      <c r="H32" s="5"/>
      <c r="I32" s="5"/>
      <c r="J32" s="5"/>
      <c r="K32" s="5"/>
      <c r="L32" s="5"/>
      <c r="M32" s="5"/>
      <c r="N32" s="5"/>
      <c r="O32" s="5"/>
      <c r="P32" s="5"/>
      <c r="Q32" s="5"/>
      <c r="R32" s="5"/>
      <c r="S32" s="5"/>
      <c r="T32" s="5"/>
      <c r="U32" s="5"/>
    </row>
    <row r="33" spans="1:27" ht="16.2" x14ac:dyDescent="0.4">
      <c r="A33" s="5"/>
      <c r="B33" s="5"/>
      <c r="C33" s="84"/>
      <c r="D33" s="84"/>
      <c r="E33" s="5"/>
      <c r="F33" s="5"/>
      <c r="G33" s="5"/>
      <c r="H33" s="5"/>
      <c r="I33" s="5"/>
      <c r="J33" s="5"/>
      <c r="K33" s="5"/>
      <c r="L33" s="5"/>
      <c r="M33" s="5"/>
      <c r="N33" s="5"/>
      <c r="O33" s="5"/>
      <c r="P33" s="5"/>
      <c r="Q33" s="5"/>
      <c r="R33" s="5"/>
      <c r="S33" s="5"/>
      <c r="T33" s="5"/>
      <c r="U33" s="5"/>
    </row>
    <row r="34" spans="1:27" ht="16.2" x14ac:dyDescent="0.4">
      <c r="A34" s="5"/>
      <c r="B34" s="5"/>
      <c r="C34" s="84"/>
      <c r="D34" s="84"/>
      <c r="E34" s="5"/>
      <c r="F34" s="5"/>
      <c r="G34" s="5"/>
      <c r="H34" s="5"/>
      <c r="I34" s="5"/>
      <c r="J34" s="5"/>
      <c r="K34" s="5"/>
      <c r="L34" s="5"/>
      <c r="M34" s="5"/>
      <c r="N34" s="5"/>
      <c r="O34" s="5"/>
      <c r="P34" s="5"/>
      <c r="Q34" s="5"/>
      <c r="R34" s="5"/>
      <c r="S34" s="5"/>
      <c r="T34" s="5"/>
      <c r="U34" s="5"/>
    </row>
    <row r="35" spans="1:27" ht="16.2" x14ac:dyDescent="0.4">
      <c r="A35" s="5"/>
      <c r="B35" s="5"/>
      <c r="C35" s="84"/>
      <c r="D35" s="84"/>
      <c r="E35" s="5"/>
      <c r="F35" s="5"/>
      <c r="G35" s="5"/>
      <c r="H35" s="5"/>
      <c r="I35" s="5"/>
      <c r="J35" s="5"/>
      <c r="K35" s="5"/>
      <c r="L35" s="5"/>
      <c r="M35" s="5"/>
      <c r="N35" s="5"/>
      <c r="O35" s="5"/>
      <c r="P35" s="5"/>
      <c r="Q35" s="5"/>
      <c r="R35" s="5"/>
      <c r="S35" s="5"/>
      <c r="T35" s="5"/>
      <c r="U35" s="5"/>
    </row>
    <row r="36" spans="1:27" ht="12" customHeight="1" x14ac:dyDescent="0.4">
      <c r="A36" s="5"/>
      <c r="B36" s="5"/>
      <c r="C36" s="84"/>
      <c r="D36" s="84"/>
      <c r="E36" s="5"/>
      <c r="F36" s="5"/>
      <c r="G36" s="5"/>
      <c r="H36" s="5"/>
      <c r="I36" s="5"/>
      <c r="J36" s="5"/>
      <c r="K36" s="5"/>
      <c r="L36" s="5"/>
      <c r="M36" s="5"/>
      <c r="N36" s="5"/>
      <c r="O36" s="5"/>
      <c r="P36" s="5"/>
      <c r="Q36" s="5"/>
      <c r="R36" s="5"/>
      <c r="S36" s="5"/>
      <c r="T36" s="5"/>
      <c r="U36" s="5"/>
    </row>
    <row r="37" spans="1:27" ht="12" customHeight="1" x14ac:dyDescent="0.4">
      <c r="A37" s="5"/>
      <c r="B37" s="5"/>
      <c r="C37" s="5"/>
      <c r="D37" s="5"/>
      <c r="E37" s="5"/>
      <c r="F37" s="5"/>
      <c r="G37" s="5"/>
      <c r="H37" s="5"/>
      <c r="I37" s="5"/>
      <c r="J37" s="5"/>
      <c r="K37" s="5"/>
      <c r="L37" s="5"/>
      <c r="M37" s="5"/>
      <c r="N37" s="5"/>
      <c r="O37" s="5"/>
      <c r="P37" s="5"/>
      <c r="Q37" s="5"/>
      <c r="R37" s="5"/>
      <c r="S37" s="5"/>
      <c r="T37" s="5"/>
      <c r="U37" s="5"/>
      <c r="V37" s="5"/>
      <c r="W37" s="5"/>
      <c r="X37" s="5"/>
      <c r="Y37" s="5"/>
    </row>
    <row r="38" spans="1:27" ht="16.5" customHeight="1" x14ac:dyDescent="0.4">
      <c r="A38" s="107" t="s">
        <v>50</v>
      </c>
      <c r="B38" s="107"/>
      <c r="C38" s="107"/>
      <c r="D38" s="107"/>
      <c r="E38" s="107"/>
      <c r="F38" s="107"/>
      <c r="G38" s="107"/>
      <c r="H38" s="107"/>
      <c r="I38" s="107"/>
      <c r="J38" s="107"/>
      <c r="K38" s="107"/>
      <c r="L38" s="5"/>
      <c r="M38" s="5"/>
      <c r="N38" s="5"/>
      <c r="O38" s="5"/>
      <c r="P38" s="5"/>
      <c r="Q38" s="5"/>
      <c r="R38" s="5"/>
      <c r="S38" s="5"/>
      <c r="T38" s="5"/>
      <c r="U38" s="5"/>
      <c r="V38" s="5"/>
      <c r="W38" s="5"/>
      <c r="X38" s="5"/>
      <c r="Y38" s="5"/>
      <c r="Z38" s="5"/>
    </row>
    <row r="39" spans="1:27" ht="16.5" customHeight="1" x14ac:dyDescent="0.4">
      <c r="A39" s="107"/>
      <c r="B39" s="107"/>
      <c r="C39" s="107"/>
      <c r="D39" s="107"/>
      <c r="E39" s="107"/>
      <c r="F39" s="107"/>
      <c r="G39" s="107"/>
      <c r="H39" s="107"/>
      <c r="I39" s="107"/>
      <c r="J39" s="107"/>
      <c r="K39" s="107"/>
      <c r="L39" s="5"/>
      <c r="M39" s="5"/>
      <c r="N39" s="5"/>
      <c r="O39" s="5"/>
      <c r="P39" s="5"/>
      <c r="Q39" s="5"/>
      <c r="R39" s="5"/>
      <c r="S39" s="5"/>
      <c r="T39" s="5"/>
      <c r="U39" s="5"/>
      <c r="V39" s="5"/>
      <c r="W39" s="5"/>
      <c r="X39" s="5"/>
      <c r="Y39" s="5"/>
      <c r="Z39" s="5"/>
    </row>
    <row r="40" spans="1:27" ht="16.5" customHeight="1" x14ac:dyDescent="0.4">
      <c r="A40" s="107"/>
      <c r="B40" s="107"/>
      <c r="C40" s="107"/>
      <c r="D40" s="107"/>
      <c r="E40" s="107"/>
      <c r="F40" s="107"/>
      <c r="G40" s="107"/>
      <c r="H40" s="107"/>
      <c r="I40" s="107"/>
      <c r="J40" s="107"/>
      <c r="K40" s="107"/>
      <c r="L40" s="5"/>
      <c r="M40" s="5"/>
      <c r="N40" s="5"/>
      <c r="O40" s="5"/>
      <c r="P40" s="5"/>
      <c r="Q40" s="5"/>
      <c r="R40" s="5"/>
      <c r="S40" s="5"/>
      <c r="T40" s="5"/>
      <c r="U40" s="5"/>
      <c r="V40" s="5"/>
      <c r="W40" s="5"/>
      <c r="X40" s="5"/>
      <c r="Y40" s="5"/>
      <c r="Z40" s="5"/>
    </row>
    <row r="41" spans="1:27" ht="16.5" customHeight="1" x14ac:dyDescent="0.4">
      <c r="A41" s="44"/>
      <c r="B41" s="106" t="s">
        <v>51</v>
      </c>
      <c r="C41" s="106"/>
      <c r="D41" s="106"/>
      <c r="E41" s="106"/>
      <c r="F41" s="106"/>
      <c r="G41" s="106"/>
      <c r="H41" s="106"/>
      <c r="I41" s="106"/>
      <c r="J41" s="106"/>
      <c r="K41" s="94"/>
      <c r="L41" s="5"/>
      <c r="M41" s="5"/>
      <c r="N41" s="5"/>
      <c r="O41" s="5"/>
      <c r="P41" s="5"/>
      <c r="Q41" s="5"/>
      <c r="R41" s="5"/>
      <c r="S41" s="5"/>
      <c r="T41" s="5"/>
      <c r="U41" s="5"/>
      <c r="V41" s="5"/>
      <c r="W41" s="5"/>
      <c r="X41" s="5"/>
      <c r="Y41" s="5"/>
      <c r="Z41" s="5"/>
    </row>
    <row r="42" spans="1:27" ht="16.5" customHeight="1" x14ac:dyDescent="0.4">
      <c r="A42" s="44"/>
      <c r="B42" s="106"/>
      <c r="C42" s="106"/>
      <c r="D42" s="106"/>
      <c r="E42" s="106"/>
      <c r="F42" s="106"/>
      <c r="G42" s="106"/>
      <c r="H42" s="106"/>
      <c r="I42" s="106"/>
      <c r="J42" s="106"/>
      <c r="K42" s="94"/>
      <c r="L42" s="5"/>
      <c r="M42" s="5"/>
      <c r="N42" s="5"/>
      <c r="O42" s="5"/>
      <c r="P42" s="5"/>
      <c r="Q42" s="5"/>
      <c r="R42" s="5"/>
      <c r="S42" s="5"/>
      <c r="T42" s="5"/>
      <c r="U42" s="5"/>
      <c r="V42" s="5"/>
      <c r="W42" s="5"/>
      <c r="X42" s="5"/>
      <c r="Y42" s="5"/>
      <c r="Z42" s="5"/>
    </row>
    <row r="43" spans="1:27" ht="16.5" customHeight="1" x14ac:dyDescent="0.4">
      <c r="A43" s="44"/>
      <c r="B43" s="44"/>
      <c r="C43" s="44"/>
      <c r="D43" s="44"/>
      <c r="E43" s="44"/>
      <c r="F43" s="44"/>
      <c r="G43" s="44"/>
      <c r="H43" s="44"/>
      <c r="I43" s="44"/>
      <c r="J43" s="44"/>
      <c r="K43" s="44"/>
      <c r="L43" s="5"/>
      <c r="M43" s="5"/>
      <c r="N43" s="5"/>
      <c r="O43" s="5"/>
      <c r="P43" s="5"/>
      <c r="Q43" s="5"/>
      <c r="R43" s="5"/>
      <c r="S43" s="5"/>
      <c r="T43" s="5"/>
      <c r="U43" s="5"/>
      <c r="V43" s="5"/>
      <c r="W43" s="5"/>
      <c r="X43" s="5"/>
      <c r="Y43" s="5"/>
      <c r="Z43" s="5"/>
    </row>
    <row r="44" spans="1:27" ht="16.5" hidden="1" customHeight="1" x14ac:dyDescent="0.4">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7" ht="16.5" hidden="1" customHeight="1"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row>
    <row r="46" spans="1:27" ht="16.5" hidden="1" customHeight="1" x14ac:dyDescent="0.4"/>
    <row r="47" spans="1:27" ht="16.5" hidden="1" customHeight="1" x14ac:dyDescent="0.4"/>
    <row r="48" spans="1:27" ht="16.5" hidden="1" customHeight="1" x14ac:dyDescent="0.4"/>
    <row r="49" s="4" customFormat="1" ht="16.5" hidden="1" customHeight="1" x14ac:dyDescent="0.4"/>
    <row r="50" s="4" customFormat="1" ht="16.5" hidden="1" customHeight="1" x14ac:dyDescent="0.4"/>
    <row r="51" s="4" customFormat="1" ht="16.5" hidden="1" customHeight="1" x14ac:dyDescent="0.4"/>
    <row r="52" s="4" customFormat="1" ht="16.5" hidden="1" customHeight="1" x14ac:dyDescent="0.4"/>
    <row r="53" s="4" customFormat="1" ht="16.5" hidden="1" customHeight="1" x14ac:dyDescent="0.4"/>
    <row r="54" s="4" customFormat="1" ht="16.5" hidden="1" customHeight="1" x14ac:dyDescent="0.4"/>
    <row r="55" s="4" customFormat="1" ht="0" hidden="1" customHeight="1" x14ac:dyDescent="0.4"/>
    <row r="56" s="4" customFormat="1" ht="0" hidden="1" customHeight="1" x14ac:dyDescent="0.4"/>
    <row r="57" s="4" customFormat="1" ht="0" hidden="1" customHeight="1" x14ac:dyDescent="0.4"/>
    <row r="58" s="4" customFormat="1" ht="0" hidden="1" customHeight="1" x14ac:dyDescent="0.4"/>
    <row r="59" s="4" customFormat="1" ht="0" hidden="1" customHeight="1" x14ac:dyDescent="0.4"/>
    <row r="60" s="4" customFormat="1" ht="0" hidden="1" customHeight="1" x14ac:dyDescent="0.4"/>
    <row r="61" s="4" customFormat="1" ht="0" hidden="1" customHeight="1" x14ac:dyDescent="0.4"/>
    <row r="62" s="4" customFormat="1" ht="0" hidden="1" customHeight="1" x14ac:dyDescent="0.4"/>
  </sheetData>
  <mergeCells count="5">
    <mergeCell ref="C23:D23"/>
    <mergeCell ref="C24:D31"/>
    <mergeCell ref="B24:B31"/>
    <mergeCell ref="B41:J42"/>
    <mergeCell ref="A38:K40"/>
  </mergeCells>
  <hyperlinks>
    <hyperlink ref="B41:J42" r:id="rId1" display="Quero agendar uma reunião! " xr:uid="{713E6761-99B9-465C-B25D-8ACB4B29031E}"/>
  </hyperlinks>
  <pageMargins left="0.511811024" right="0.511811024" top="0.78740157499999996" bottom="0.78740157499999996" header="0.31496062000000002" footer="0.31496062000000002"/>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B7C4E-F260-479B-8212-3A99ED93A45B}">
  <dimension ref="A1:L25"/>
  <sheetViews>
    <sheetView showGridLines="0" workbookViewId="0">
      <selection activeCell="F20" sqref="F20"/>
    </sheetView>
  </sheetViews>
  <sheetFormatPr defaultRowHeight="16.2" x14ac:dyDescent="0.4"/>
  <cols>
    <col min="1" max="1" width="19.1796875" bestFit="1" customWidth="1"/>
    <col min="2" max="3" width="9.6328125" customWidth="1"/>
    <col min="5" max="5" width="11.54296875" bestFit="1" customWidth="1"/>
    <col min="6" max="6" width="10.1796875" bestFit="1" customWidth="1"/>
    <col min="9" max="9" width="9.54296875" customWidth="1"/>
    <col min="10" max="10" width="9.54296875" bestFit="1" customWidth="1"/>
  </cols>
  <sheetData>
    <row r="1" spans="1:12" x14ac:dyDescent="0.4">
      <c r="A1" s="12"/>
      <c r="B1" s="13" t="s">
        <v>9</v>
      </c>
      <c r="C1" s="14" t="s">
        <v>10</v>
      </c>
    </row>
    <row r="2" spans="1:12" x14ac:dyDescent="0.4">
      <c r="A2" s="15" t="s">
        <v>11</v>
      </c>
      <c r="B2" s="37">
        <v>0.04</v>
      </c>
      <c r="C2" s="38">
        <v>0.04</v>
      </c>
      <c r="E2" s="42"/>
      <c r="F2" s="2"/>
      <c r="G2" s="2"/>
      <c r="H2" s="2"/>
      <c r="I2" s="2"/>
    </row>
    <row r="3" spans="1:12" x14ac:dyDescent="0.4">
      <c r="A3" s="15" t="s">
        <v>12</v>
      </c>
      <c r="B3" s="37">
        <v>0.05</v>
      </c>
      <c r="C3" s="38">
        <v>0.05</v>
      </c>
      <c r="E3" s="3"/>
      <c r="F3" s="3"/>
      <c r="G3" s="3"/>
      <c r="H3" s="3"/>
      <c r="I3" s="3"/>
    </row>
    <row r="4" spans="1:12" x14ac:dyDescent="0.4">
      <c r="A4" s="15" t="s">
        <v>13</v>
      </c>
      <c r="B4" s="37">
        <v>0.06</v>
      </c>
      <c r="C4" s="38">
        <v>0.05</v>
      </c>
      <c r="E4" s="43"/>
      <c r="F4" s="43"/>
      <c r="G4" s="43"/>
      <c r="H4" s="43"/>
      <c r="I4" s="43"/>
    </row>
    <row r="5" spans="1:12" x14ac:dyDescent="0.4">
      <c r="A5" s="15" t="s">
        <v>14</v>
      </c>
      <c r="B5" s="3">
        <v>6.5000000000000002E-2</v>
      </c>
      <c r="C5" s="34">
        <v>5.5E-2</v>
      </c>
    </row>
    <row r="6" spans="1:12" x14ac:dyDescent="0.4">
      <c r="A6" s="36" t="s">
        <v>15</v>
      </c>
      <c r="B6" s="39">
        <v>7.0000000000000007E-2</v>
      </c>
      <c r="C6" s="40">
        <v>0.06</v>
      </c>
    </row>
    <row r="8" spans="1:12" x14ac:dyDescent="0.4">
      <c r="A8" s="12" t="s">
        <v>17</v>
      </c>
      <c r="B8" s="31">
        <f ca="1">TODAY()</f>
        <v>45754</v>
      </c>
      <c r="E8" s="12" t="s">
        <v>26</v>
      </c>
      <c r="F8" s="13" t="s">
        <v>25</v>
      </c>
      <c r="G8" s="13" t="s">
        <v>2</v>
      </c>
      <c r="H8" s="13" t="s">
        <v>5</v>
      </c>
      <c r="I8" s="13" t="s">
        <v>28</v>
      </c>
      <c r="J8" s="13" t="s">
        <v>10</v>
      </c>
      <c r="K8" s="14" t="s">
        <v>27</v>
      </c>
    </row>
    <row r="9" spans="1:12" x14ac:dyDescent="0.4">
      <c r="A9" s="15" t="s">
        <v>18</v>
      </c>
      <c r="B9" s="32">
        <f>EDATE('1 - Informações Básicas'!C6,12*'1 - Informações Básicas'!C9)</f>
        <v>0</v>
      </c>
      <c r="E9" s="15">
        <v>0</v>
      </c>
      <c r="F9" s="6">
        <f ca="1">EDATE($B$8,12*E9)</f>
        <v>45754</v>
      </c>
      <c r="G9" s="16">
        <f ca="1">(F9-'1 - Informações Básicas'!$C$6)/365</f>
        <v>125.35342465753425</v>
      </c>
      <c r="H9" s="17" t="e">
        <f ca="1">J9/'1 - Informações Básicas'!$C$10</f>
        <v>#DIV/0!</v>
      </c>
      <c r="I9" s="18">
        <f ca="1">FV(Apoio!$B$12,Apoio!F9-$B$8,-Apoio!$B$11,-'1 - Informações Básicas'!$C$7)</f>
        <v>0</v>
      </c>
      <c r="J9" s="19">
        <f t="shared" ref="J9:J18" ca="1" si="0">I9*$B$16</f>
        <v>0</v>
      </c>
      <c r="K9" s="20">
        <v>1</v>
      </c>
      <c r="L9" s="19" t="str">
        <f ca="1">_xlfn.CONCAT(ROUND(I9/1000000,2)," Mi")</f>
        <v>0 Mi</v>
      </c>
    </row>
    <row r="10" spans="1:12" x14ac:dyDescent="0.4">
      <c r="A10" s="15" t="s">
        <v>19</v>
      </c>
      <c r="B10" s="33">
        <f ca="1">B9-B8</f>
        <v>-45754</v>
      </c>
      <c r="E10" s="21" t="e">
        <f t="shared" ref="E10:E15" ca="1" si="1">($E$17-$E$9)/8+E9</f>
        <v>#NUM!</v>
      </c>
      <c r="F10" s="6" t="e">
        <f t="shared" ref="F10:F18" ca="1" si="2">EDATE($B$8,12*E10)</f>
        <v>#NUM!</v>
      </c>
      <c r="G10" s="16" t="e">
        <f ca="1">(F10-'1 - Informações Básicas'!$C$6)/365</f>
        <v>#NUM!</v>
      </c>
      <c r="H10" s="17" t="e">
        <f ca="1">J10/'1 - Informações Básicas'!$C$10</f>
        <v>#NUM!</v>
      </c>
      <c r="I10" s="18" t="e">
        <f ca="1">FV(Apoio!$B$12,Apoio!F10-$B$8,-Apoio!$B$11,-'1 - Informações Básicas'!$C$7)</f>
        <v>#NUM!</v>
      </c>
      <c r="J10" s="19" t="e">
        <f t="shared" ca="1" si="0"/>
        <v>#NUM!</v>
      </c>
      <c r="K10" s="20">
        <v>1</v>
      </c>
      <c r="L10" s="19" t="e">
        <f t="shared" ref="L10:L18" ca="1" si="3">_xlfn.CONCAT(ROUND(I10/1000000,2)," Mi")</f>
        <v>#NUM!</v>
      </c>
    </row>
    <row r="11" spans="1:12" x14ac:dyDescent="0.4">
      <c r="A11" s="15" t="s">
        <v>20</v>
      </c>
      <c r="B11" s="33">
        <f>('1 - Informações Básicas'!C8*12)/365</f>
        <v>0</v>
      </c>
      <c r="D11" s="3" t="e">
        <f ca="1">RATE((F10-F9),B11,-I9,I10)</f>
        <v>#NUM!</v>
      </c>
      <c r="E11" s="21" t="e">
        <f t="shared" ca="1" si="1"/>
        <v>#NUM!</v>
      </c>
      <c r="F11" s="6" t="e">
        <f t="shared" ca="1" si="2"/>
        <v>#NUM!</v>
      </c>
      <c r="G11" s="16" t="e">
        <f ca="1">(F11-'1 - Informações Básicas'!$C$6)/365</f>
        <v>#NUM!</v>
      </c>
      <c r="H11" s="17" t="e">
        <f ca="1">J11/'1 - Informações Básicas'!$C$10</f>
        <v>#NUM!</v>
      </c>
      <c r="I11" s="18" t="e">
        <f ca="1">FV(Apoio!$B$12,Apoio!F11-$B$8,-Apoio!$B$11,-'1 - Informações Básicas'!$C$7)</f>
        <v>#NUM!</v>
      </c>
      <c r="J11" s="19" t="e">
        <f t="shared" ca="1" si="0"/>
        <v>#NUM!</v>
      </c>
      <c r="K11" s="20">
        <v>1</v>
      </c>
      <c r="L11" s="19" t="e">
        <f t="shared" ca="1" si="3"/>
        <v>#NUM!</v>
      </c>
    </row>
    <row r="12" spans="1:12" x14ac:dyDescent="0.4">
      <c r="A12" s="15" t="s">
        <v>21</v>
      </c>
      <c r="B12" s="34">
        <f>(1+'2 - Gráficos'!J5)^(1/365)-1</f>
        <v>1.0745978202786333E-4</v>
      </c>
      <c r="E12" s="21" t="e">
        <f t="shared" ca="1" si="1"/>
        <v>#NUM!</v>
      </c>
      <c r="F12" s="6" t="e">
        <f t="shared" ca="1" si="2"/>
        <v>#NUM!</v>
      </c>
      <c r="G12" s="16" t="e">
        <f ca="1">(F12-'1 - Informações Básicas'!$C$6)/365</f>
        <v>#NUM!</v>
      </c>
      <c r="H12" s="17" t="e">
        <f ca="1">J12/'1 - Informações Básicas'!$C$10</f>
        <v>#NUM!</v>
      </c>
      <c r="I12" s="18" t="e">
        <f ca="1">FV(Apoio!$B$12,Apoio!F12-$B$8,-Apoio!$B$11,-'1 - Informações Básicas'!$C$7)</f>
        <v>#NUM!</v>
      </c>
      <c r="J12" s="19" t="e">
        <f t="shared" ca="1" si="0"/>
        <v>#NUM!</v>
      </c>
      <c r="K12" s="20">
        <v>1</v>
      </c>
      <c r="L12" s="19" t="e">
        <f t="shared" ca="1" si="3"/>
        <v>#NUM!</v>
      </c>
    </row>
    <row r="13" spans="1:12" x14ac:dyDescent="0.4">
      <c r="A13" s="15" t="s">
        <v>31</v>
      </c>
      <c r="B13" s="34">
        <f>(1+'2 - Gráficos'!J5)^(1/12)-1</f>
        <v>3.2737397821989145E-3</v>
      </c>
      <c r="E13" s="21" t="e">
        <f t="shared" ca="1" si="1"/>
        <v>#NUM!</v>
      </c>
      <c r="F13" s="6" t="e">
        <f t="shared" ca="1" si="2"/>
        <v>#NUM!</v>
      </c>
      <c r="G13" s="16" t="e">
        <f ca="1">(F13-'1 - Informações Básicas'!$C$6)/365</f>
        <v>#NUM!</v>
      </c>
      <c r="H13" s="17" t="e">
        <f ca="1">J13/'1 - Informações Básicas'!$C$10</f>
        <v>#NUM!</v>
      </c>
      <c r="I13" s="18" t="e">
        <f ca="1">FV(Apoio!$B$12,Apoio!F13-$B$8,-Apoio!$B$11,-'1 - Informações Básicas'!$C$7)</f>
        <v>#NUM!</v>
      </c>
      <c r="J13" s="19" t="e">
        <f t="shared" ca="1" si="0"/>
        <v>#NUM!</v>
      </c>
      <c r="K13" s="20">
        <v>1</v>
      </c>
      <c r="L13" s="19" t="e">
        <f t="shared" ca="1" si="3"/>
        <v>#NUM!</v>
      </c>
    </row>
    <row r="14" spans="1:12" x14ac:dyDescent="0.4">
      <c r="B14" s="20"/>
      <c r="E14" s="21" t="e">
        <f t="shared" ca="1" si="1"/>
        <v>#NUM!</v>
      </c>
      <c r="F14" s="6" t="e">
        <f t="shared" ca="1" si="2"/>
        <v>#NUM!</v>
      </c>
      <c r="G14" s="16" t="e">
        <f ca="1">(F14-'1 - Informações Básicas'!$C$6)/365</f>
        <v>#NUM!</v>
      </c>
      <c r="H14" s="17" t="e">
        <f ca="1">J14/'1 - Informações Básicas'!$C$10</f>
        <v>#NUM!</v>
      </c>
      <c r="I14" s="18" t="e">
        <f ca="1">FV(Apoio!$B$12,Apoio!F14-$B$8,-Apoio!$B$11,-'1 - Informações Básicas'!$C$7)</f>
        <v>#NUM!</v>
      </c>
      <c r="J14" s="19" t="e">
        <f t="shared" ca="1" si="0"/>
        <v>#NUM!</v>
      </c>
      <c r="K14" s="20">
        <v>1</v>
      </c>
      <c r="L14" s="19" t="e">
        <f t="shared" ca="1" si="3"/>
        <v>#NUM!</v>
      </c>
    </row>
    <row r="15" spans="1:12" x14ac:dyDescent="0.4">
      <c r="A15" s="15" t="s">
        <v>22</v>
      </c>
      <c r="B15" s="35">
        <f>_xlfn.XLOOKUP('1 - Informações Básicas'!C35,Apoio!$A$2:$A$6,Apoio!$C$2:$C$6)</f>
        <v>0.04</v>
      </c>
      <c r="E15" s="21" t="e">
        <f t="shared" ca="1" si="1"/>
        <v>#NUM!</v>
      </c>
      <c r="F15" s="6" t="e">
        <f t="shared" ca="1" si="2"/>
        <v>#NUM!</v>
      </c>
      <c r="G15" s="16" t="e">
        <f ca="1">(F15-'1 - Informações Básicas'!$C$6)/365</f>
        <v>#NUM!</v>
      </c>
      <c r="H15" s="17" t="e">
        <f ca="1">J15/'1 - Informações Básicas'!$C$10</f>
        <v>#NUM!</v>
      </c>
      <c r="I15" s="18" t="e">
        <f ca="1">FV(Apoio!$B$12,Apoio!F15-$B$8,-Apoio!$B$11,-'1 - Informações Básicas'!$C$7)</f>
        <v>#NUM!</v>
      </c>
      <c r="J15" s="19" t="e">
        <f t="shared" ca="1" si="0"/>
        <v>#NUM!</v>
      </c>
      <c r="K15" s="20">
        <v>1</v>
      </c>
      <c r="L15" s="19" t="e">
        <f t="shared" ca="1" si="3"/>
        <v>#NUM!</v>
      </c>
    </row>
    <row r="16" spans="1:12" x14ac:dyDescent="0.4">
      <c r="A16" s="15" t="s">
        <v>23</v>
      </c>
      <c r="B16" s="35">
        <f>(1+B15)^(1/12)-1</f>
        <v>3.2737397821989145E-3</v>
      </c>
      <c r="E16" s="21" t="e">
        <f ca="1">($E$17-$E$9)/8+E15</f>
        <v>#NUM!</v>
      </c>
      <c r="F16" s="6" t="e">
        <f t="shared" ca="1" si="2"/>
        <v>#NUM!</v>
      </c>
      <c r="G16" s="16" t="e">
        <f ca="1">(F16-'1 - Informações Básicas'!$C$6)/365</f>
        <v>#NUM!</v>
      </c>
      <c r="H16" s="17" t="e">
        <f ca="1">J16/'1 - Informações Básicas'!$C$10</f>
        <v>#NUM!</v>
      </c>
      <c r="I16" s="18" t="e">
        <f ca="1">FV(Apoio!$B$12,Apoio!F16-$B$8,-Apoio!$B$11,-'1 - Informações Básicas'!$C$7)</f>
        <v>#NUM!</v>
      </c>
      <c r="J16" s="19" t="e">
        <f t="shared" ca="1" si="0"/>
        <v>#NUM!</v>
      </c>
      <c r="K16" s="20">
        <v>1</v>
      </c>
      <c r="L16" s="19" t="e">
        <f t="shared" ca="1" si="3"/>
        <v>#NUM!</v>
      </c>
    </row>
    <row r="17" spans="1:12" x14ac:dyDescent="0.4">
      <c r="A17" s="15"/>
      <c r="B17" s="20"/>
      <c r="C17" s="6"/>
      <c r="E17" s="22" t="e">
        <f ca="1">(F17-B8)/365.25</f>
        <v>#NUM!</v>
      </c>
      <c r="F17" s="23" t="e">
        <f ca="1">B18</f>
        <v>#NUM!</v>
      </c>
      <c r="G17" s="16" t="e">
        <f ca="1">(F17-'1 - Informações Básicas'!$C$6)/365</f>
        <v>#NUM!</v>
      </c>
      <c r="H17" s="17" t="e">
        <f ca="1">J17/'1 - Informações Básicas'!$C$10</f>
        <v>#NUM!</v>
      </c>
      <c r="I17" s="18" t="e">
        <f ca="1">FV(Apoio!$B$12,Apoio!F17-$B$8,-Apoio!$B$11,-'1 - Informações Básicas'!$C$7)</f>
        <v>#NUM!</v>
      </c>
      <c r="J17" s="19" t="e">
        <f t="shared" ca="1" si="0"/>
        <v>#NUM!</v>
      </c>
      <c r="K17" s="20">
        <v>1</v>
      </c>
      <c r="L17" s="19" t="e">
        <f t="shared" ca="1" si="3"/>
        <v>#NUM!</v>
      </c>
    </row>
    <row r="18" spans="1:12" x14ac:dyDescent="0.4">
      <c r="A18" s="15" t="s">
        <v>24</v>
      </c>
      <c r="B18" s="32" t="e">
        <f ca="1">NPER(B13,'1 - Informações Básicas'!C8,'1 - Informações Básicas'!C7,-'2 - Gráficos'!C10)*30+Apoio!B8</f>
        <v>#NUM!</v>
      </c>
      <c r="C18" s="6" t="e">
        <f ca="1">NPER(Apoio!B12,Apoio!B11,'1 - Informações Básicas'!C7,-'2 - Gráficos'!C10)+Apoio!B8</f>
        <v>#NUM!</v>
      </c>
      <c r="E18" s="24" t="e">
        <f ca="1">($E$17-$E$9)/8+E17</f>
        <v>#NUM!</v>
      </c>
      <c r="F18" s="25" t="e">
        <f t="shared" ca="1" si="2"/>
        <v>#NUM!</v>
      </c>
      <c r="G18" s="26" t="e">
        <f ca="1">(F18-'1 - Informações Básicas'!$C$6)/365</f>
        <v>#NUM!</v>
      </c>
      <c r="H18" s="27" t="e">
        <f ca="1">J18/'1 - Informações Básicas'!$C$10</f>
        <v>#NUM!</v>
      </c>
      <c r="I18" s="28" t="e">
        <f ca="1">FV(Apoio!$B$12,Apoio!F18-$B$8,-Apoio!$B$11,-'1 - Informações Básicas'!$C$7)</f>
        <v>#NUM!</v>
      </c>
      <c r="J18" s="29" t="e">
        <f t="shared" ca="1" si="0"/>
        <v>#NUM!</v>
      </c>
      <c r="K18" s="30">
        <v>1</v>
      </c>
      <c r="L18" s="19" t="e">
        <f t="shared" ca="1" si="3"/>
        <v>#NUM!</v>
      </c>
    </row>
    <row r="19" spans="1:12" x14ac:dyDescent="0.4">
      <c r="A19" s="15" t="s">
        <v>8</v>
      </c>
      <c r="B19" s="50" t="e">
        <f ca="1">(B18-'1 - Informações Básicas'!C6)/365.25</f>
        <v>#NUM!</v>
      </c>
      <c r="C19" s="6"/>
    </row>
    <row r="20" spans="1:12" x14ac:dyDescent="0.4">
      <c r="A20" s="36" t="s">
        <v>32</v>
      </c>
      <c r="B20" s="48" t="e">
        <f ca="1">RATE((Apoio!B9-Apoio!B8)/30,'1 - Informações Básicas'!C8,'1 - Informações Básicas'!C7,-'2 - Gráficos'!C10)</f>
        <v>#NUM!</v>
      </c>
      <c r="C20" s="10"/>
    </row>
    <row r="21" spans="1:12" x14ac:dyDescent="0.4">
      <c r="B21" s="47"/>
    </row>
    <row r="22" spans="1:12" x14ac:dyDescent="0.4">
      <c r="A22" t="s">
        <v>33</v>
      </c>
      <c r="B22" s="61" t="e">
        <f ca="1">DATEDIF('1 - Informações Básicas'!C6,B18,"Y")</f>
        <v>#NUM!</v>
      </c>
      <c r="E22" s="2">
        <f ca="1">FV(Apoio!B12,Apoio!B10,-Apoio!B11,-'1 - Informações Básicas'!C7)</f>
        <v>0</v>
      </c>
    </row>
    <row r="23" spans="1:12" x14ac:dyDescent="0.4">
      <c r="A23" t="s">
        <v>34</v>
      </c>
      <c r="B23" s="1" t="e">
        <f ca="1">MOD(DATEDIF('1 - Informações Básicas'!C6,B18,"m"),B22)</f>
        <v>#NUM!</v>
      </c>
      <c r="E23" s="2">
        <f ca="1">FV(Apoio!B13,Apoio!B10/30,-'1 - Informações Básicas'!C8,-'1 - Informações Básicas'!C7)</f>
        <v>0</v>
      </c>
    </row>
    <row r="24" spans="1:12" x14ac:dyDescent="0.4">
      <c r="A24" t="s">
        <v>2</v>
      </c>
      <c r="B24" t="e">
        <f ca="1">_xlfn.CONCAT(B22," a ",B23," m")</f>
        <v>#NUM!</v>
      </c>
    </row>
    <row r="25" spans="1:12" x14ac:dyDescent="0.4">
      <c r="A25" t="s">
        <v>49</v>
      </c>
      <c r="B25" s="19" t="e">
        <f ca="1">_xlfn.CONCAT(ROUND(B19,0)," anos")</f>
        <v>#NUM!</v>
      </c>
    </row>
  </sheetData>
  <pageMargins left="0.511811024" right="0.511811024" top="0.78740157499999996" bottom="0.78740157499999996" header="0.31496062000000002" footer="0.31496062000000002"/>
  <ignoredErrors>
    <ignoredError sqref="E17:F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F7E22-2B1A-47D2-B198-EDB6DFD381F9}">
  <dimension ref="B2:D65"/>
  <sheetViews>
    <sheetView showGridLines="0" topLeftCell="A39" zoomScale="90" zoomScaleNormal="90" workbookViewId="0">
      <selection activeCell="C1" sqref="C1:C1048576"/>
    </sheetView>
  </sheetViews>
  <sheetFormatPr defaultRowHeight="16.2" x14ac:dyDescent="0.4"/>
  <cols>
    <col min="2" max="2" width="91.26953125" customWidth="1"/>
    <col min="3" max="3" width="7.453125" style="70" customWidth="1"/>
  </cols>
  <sheetData>
    <row r="2" spans="2:4" x14ac:dyDescent="0.4">
      <c r="B2" s="64" t="s">
        <v>58</v>
      </c>
      <c r="C2" s="69"/>
    </row>
    <row r="3" spans="2:4" x14ac:dyDescent="0.4">
      <c r="B3" t="s">
        <v>59</v>
      </c>
      <c r="D3">
        <v>0</v>
      </c>
    </row>
    <row r="4" spans="2:4" x14ac:dyDescent="0.4">
      <c r="B4" t="s">
        <v>60</v>
      </c>
      <c r="D4">
        <v>10</v>
      </c>
    </row>
    <row r="5" spans="2:4" x14ac:dyDescent="0.4">
      <c r="B5" t="s">
        <v>61</v>
      </c>
      <c r="D5">
        <v>20</v>
      </c>
    </row>
    <row r="6" spans="2:4" x14ac:dyDescent="0.4">
      <c r="B6" t="s">
        <v>62</v>
      </c>
      <c r="D6">
        <v>40</v>
      </c>
    </row>
    <row r="7" spans="2:4" x14ac:dyDescent="0.4">
      <c r="B7" s="64" t="s">
        <v>63</v>
      </c>
      <c r="C7" s="69"/>
    </row>
    <row r="8" spans="2:4" x14ac:dyDescent="0.4">
      <c r="B8" t="s">
        <v>56</v>
      </c>
      <c r="D8">
        <v>0</v>
      </c>
    </row>
    <row r="9" spans="2:4" x14ac:dyDescent="0.4">
      <c r="B9" t="s">
        <v>57</v>
      </c>
      <c r="D9">
        <v>20</v>
      </c>
    </row>
    <row r="10" spans="2:4" x14ac:dyDescent="0.4">
      <c r="B10" t="s">
        <v>55</v>
      </c>
      <c r="D10">
        <v>40</v>
      </c>
    </row>
    <row r="11" spans="2:4" x14ac:dyDescent="0.4">
      <c r="B11" s="64" t="s">
        <v>64</v>
      </c>
      <c r="C11" s="69"/>
    </row>
    <row r="12" spans="2:4" x14ac:dyDescent="0.4">
      <c r="B12" t="s">
        <v>65</v>
      </c>
      <c r="D12">
        <v>0</v>
      </c>
    </row>
    <row r="13" spans="2:4" x14ac:dyDescent="0.4">
      <c r="B13" t="s">
        <v>66</v>
      </c>
      <c r="D13">
        <v>10</v>
      </c>
    </row>
    <row r="14" spans="2:4" x14ac:dyDescent="0.4">
      <c r="B14" t="s">
        <v>67</v>
      </c>
      <c r="D14">
        <v>20</v>
      </c>
    </row>
    <row r="15" spans="2:4" x14ac:dyDescent="0.4">
      <c r="B15" t="s">
        <v>68</v>
      </c>
      <c r="D15">
        <v>40</v>
      </c>
    </row>
    <row r="16" spans="2:4" x14ac:dyDescent="0.4">
      <c r="B16" s="64" t="s">
        <v>69</v>
      </c>
      <c r="C16" s="69"/>
    </row>
    <row r="17" spans="2:4" x14ac:dyDescent="0.4">
      <c r="B17" t="s">
        <v>70</v>
      </c>
      <c r="D17">
        <v>0</v>
      </c>
    </row>
    <row r="18" spans="2:4" x14ac:dyDescent="0.4">
      <c r="B18" t="s">
        <v>71</v>
      </c>
      <c r="D18">
        <v>10</v>
      </c>
    </row>
    <row r="19" spans="2:4" x14ac:dyDescent="0.4">
      <c r="B19" t="s">
        <v>72</v>
      </c>
      <c r="D19">
        <v>30</v>
      </c>
    </row>
    <row r="20" spans="2:4" x14ac:dyDescent="0.4">
      <c r="B20" t="s">
        <v>73</v>
      </c>
      <c r="D20">
        <v>40</v>
      </c>
    </row>
    <row r="21" spans="2:4" x14ac:dyDescent="0.4">
      <c r="B21" t="s">
        <v>74</v>
      </c>
      <c r="D21">
        <v>40</v>
      </c>
    </row>
    <row r="22" spans="2:4" x14ac:dyDescent="0.4">
      <c r="B22" s="64" t="s">
        <v>75</v>
      </c>
      <c r="C22" s="69"/>
      <c r="D22">
        <v>1</v>
      </c>
    </row>
    <row r="23" spans="2:4" x14ac:dyDescent="0.4">
      <c r="B23" t="s">
        <v>76</v>
      </c>
      <c r="D23">
        <v>0</v>
      </c>
    </row>
    <row r="24" spans="2:4" x14ac:dyDescent="0.4">
      <c r="B24" t="s">
        <v>77</v>
      </c>
      <c r="D24">
        <v>10</v>
      </c>
    </row>
    <row r="25" spans="2:4" x14ac:dyDescent="0.4">
      <c r="B25" t="s">
        <v>78</v>
      </c>
      <c r="D25">
        <v>20</v>
      </c>
    </row>
    <row r="26" spans="2:4" x14ac:dyDescent="0.4">
      <c r="B26" t="s">
        <v>79</v>
      </c>
      <c r="D26">
        <v>40</v>
      </c>
    </row>
    <row r="27" spans="2:4" x14ac:dyDescent="0.4">
      <c r="B27" t="s">
        <v>80</v>
      </c>
      <c r="D27">
        <v>60</v>
      </c>
    </row>
    <row r="28" spans="2:4" x14ac:dyDescent="0.4">
      <c r="B28" s="64" t="s">
        <v>81</v>
      </c>
      <c r="C28" s="69"/>
      <c r="D28">
        <v>1</v>
      </c>
    </row>
    <row r="29" spans="2:4" x14ac:dyDescent="0.4">
      <c r="B29" t="s">
        <v>82</v>
      </c>
      <c r="D29">
        <v>40</v>
      </c>
    </row>
    <row r="30" spans="2:4" x14ac:dyDescent="0.4">
      <c r="B30" t="s">
        <v>83</v>
      </c>
      <c r="D30">
        <v>10</v>
      </c>
    </row>
    <row r="31" spans="2:4" x14ac:dyDescent="0.4">
      <c r="B31" t="s">
        <v>84</v>
      </c>
      <c r="D31">
        <v>0</v>
      </c>
    </row>
    <row r="32" spans="2:4" x14ac:dyDescent="0.4">
      <c r="B32" s="64" t="s">
        <v>85</v>
      </c>
      <c r="C32" s="69"/>
      <c r="D32">
        <v>1</v>
      </c>
    </row>
    <row r="33" spans="2:4" x14ac:dyDescent="0.4">
      <c r="B33" t="s">
        <v>86</v>
      </c>
      <c r="C33" s="70" t="s">
        <v>112</v>
      </c>
      <c r="D33">
        <v>0</v>
      </c>
    </row>
    <row r="34" spans="2:4" x14ac:dyDescent="0.4">
      <c r="B34" t="s">
        <v>87</v>
      </c>
      <c r="C34" s="70" t="s">
        <v>112</v>
      </c>
      <c r="D34">
        <v>10</v>
      </c>
    </row>
    <row r="35" spans="2:4" x14ac:dyDescent="0.4">
      <c r="B35" t="s">
        <v>88</v>
      </c>
      <c r="C35" s="70" t="s">
        <v>112</v>
      </c>
      <c r="D35">
        <v>10</v>
      </c>
    </row>
    <row r="36" spans="2:4" x14ac:dyDescent="0.4">
      <c r="B36" t="s">
        <v>89</v>
      </c>
      <c r="C36" s="70" t="s">
        <v>112</v>
      </c>
      <c r="D36">
        <v>20</v>
      </c>
    </row>
    <row r="37" spans="2:4" x14ac:dyDescent="0.4">
      <c r="B37" t="s">
        <v>90</v>
      </c>
      <c r="C37" s="70" t="s">
        <v>112</v>
      </c>
      <c r="D37">
        <v>10</v>
      </c>
    </row>
    <row r="38" spans="2:4" x14ac:dyDescent="0.4">
      <c r="B38" t="s">
        <v>91</v>
      </c>
      <c r="C38" s="70" t="s">
        <v>112</v>
      </c>
      <c r="D38">
        <v>10</v>
      </c>
    </row>
    <row r="39" spans="2:4" x14ac:dyDescent="0.4">
      <c r="B39" s="64" t="s">
        <v>92</v>
      </c>
      <c r="C39" s="69"/>
      <c r="D39">
        <v>1</v>
      </c>
    </row>
    <row r="40" spans="2:4" x14ac:dyDescent="0.4">
      <c r="B40" t="s">
        <v>93</v>
      </c>
      <c r="C40" s="70" t="s">
        <v>112</v>
      </c>
      <c r="D40">
        <v>0</v>
      </c>
    </row>
    <row r="41" spans="2:4" x14ac:dyDescent="0.4">
      <c r="B41" t="s">
        <v>94</v>
      </c>
      <c r="C41" s="70" t="s">
        <v>112</v>
      </c>
      <c r="D41">
        <v>0</v>
      </c>
    </row>
    <row r="42" spans="2:4" x14ac:dyDescent="0.4">
      <c r="B42" t="s">
        <v>95</v>
      </c>
      <c r="C42" s="70" t="s">
        <v>112</v>
      </c>
      <c r="D42">
        <v>10</v>
      </c>
    </row>
    <row r="43" spans="2:4" x14ac:dyDescent="0.4">
      <c r="B43" t="s">
        <v>96</v>
      </c>
      <c r="C43" s="70" t="s">
        <v>112</v>
      </c>
      <c r="D43">
        <v>5</v>
      </c>
    </row>
    <row r="44" spans="2:4" x14ac:dyDescent="0.4">
      <c r="B44" t="s">
        <v>97</v>
      </c>
      <c r="C44" s="70" t="s">
        <v>112</v>
      </c>
      <c r="D44">
        <v>5</v>
      </c>
    </row>
    <row r="45" spans="2:4" x14ac:dyDescent="0.4">
      <c r="B45" t="s">
        <v>98</v>
      </c>
      <c r="C45" s="70" t="s">
        <v>112</v>
      </c>
      <c r="D45">
        <v>10</v>
      </c>
    </row>
    <row r="46" spans="2:4" x14ac:dyDescent="0.4">
      <c r="B46" t="s">
        <v>99</v>
      </c>
      <c r="C46" s="70" t="s">
        <v>112</v>
      </c>
      <c r="D46">
        <v>5</v>
      </c>
    </row>
    <row r="47" spans="2:4" x14ac:dyDescent="0.4">
      <c r="B47" t="s">
        <v>100</v>
      </c>
      <c r="C47" s="70" t="s">
        <v>112</v>
      </c>
      <c r="D47">
        <v>15</v>
      </c>
    </row>
    <row r="48" spans="2:4" x14ac:dyDescent="0.4">
      <c r="B48" t="s">
        <v>101</v>
      </c>
      <c r="C48" s="70" t="s">
        <v>112</v>
      </c>
      <c r="D48">
        <v>0</v>
      </c>
    </row>
    <row r="49" spans="2:4" x14ac:dyDescent="0.4">
      <c r="B49" s="64" t="s">
        <v>102</v>
      </c>
      <c r="C49" s="69"/>
      <c r="D49">
        <v>1</v>
      </c>
    </row>
    <row r="50" spans="2:4" x14ac:dyDescent="0.4">
      <c r="B50" t="s">
        <v>103</v>
      </c>
      <c r="D50">
        <v>0</v>
      </c>
    </row>
    <row r="51" spans="2:4" x14ac:dyDescent="0.4">
      <c r="B51" t="s">
        <v>104</v>
      </c>
      <c r="D51">
        <v>10</v>
      </c>
    </row>
    <row r="52" spans="2:4" x14ac:dyDescent="0.4">
      <c r="B52" t="s">
        <v>105</v>
      </c>
      <c r="D52">
        <v>40</v>
      </c>
    </row>
    <row r="53" spans="2:4" x14ac:dyDescent="0.4">
      <c r="B53" t="s">
        <v>106</v>
      </c>
      <c r="D53">
        <v>50</v>
      </c>
    </row>
    <row r="60" spans="2:4" x14ac:dyDescent="0.4">
      <c r="B60" s="67" t="s">
        <v>110</v>
      </c>
      <c r="C60" s="67"/>
      <c r="D60" s="67">
        <v>420</v>
      </c>
    </row>
    <row r="61" spans="2:4" x14ac:dyDescent="0.4">
      <c r="B61" s="68" t="s">
        <v>11</v>
      </c>
      <c r="C61" s="68"/>
      <c r="D61" s="68">
        <v>84</v>
      </c>
    </row>
    <row r="62" spans="2:4" x14ac:dyDescent="0.4">
      <c r="B62" s="68" t="s">
        <v>12</v>
      </c>
      <c r="C62" s="68"/>
      <c r="D62" s="68">
        <v>168</v>
      </c>
    </row>
    <row r="63" spans="2:4" x14ac:dyDescent="0.4">
      <c r="B63" s="68" t="s">
        <v>13</v>
      </c>
      <c r="C63" s="68"/>
      <c r="D63" s="68">
        <v>252</v>
      </c>
    </row>
    <row r="64" spans="2:4" x14ac:dyDescent="0.4">
      <c r="B64" s="68" t="s">
        <v>14</v>
      </c>
      <c r="C64" s="68"/>
      <c r="D64" s="68">
        <v>336</v>
      </c>
    </row>
    <row r="65" spans="2:4" x14ac:dyDescent="0.4">
      <c r="B65" s="67" t="s">
        <v>15</v>
      </c>
      <c r="C65" s="67"/>
      <c r="D65" s="67">
        <v>420</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E1B4-6735-4540-9C54-DA596F6DF50F}">
  <dimension ref="B2:G22"/>
  <sheetViews>
    <sheetView showGridLines="0" topLeftCell="A7" zoomScale="110" zoomScaleNormal="110" workbookViewId="0">
      <selection activeCell="C22" sqref="C22"/>
    </sheetView>
  </sheetViews>
  <sheetFormatPr defaultRowHeight="16.2" x14ac:dyDescent="0.4"/>
  <cols>
    <col min="2" max="2" width="19.08984375" bestFit="1" customWidth="1"/>
    <col min="3" max="3" width="10.7265625" bestFit="1" customWidth="1"/>
    <col min="4" max="4" width="8.90625" bestFit="1" customWidth="1"/>
    <col min="5" max="5" width="8.54296875" bestFit="1" customWidth="1"/>
    <col min="6" max="6" width="7.6328125" bestFit="1" customWidth="1"/>
    <col min="7" max="7" width="9.453125" bestFit="1" customWidth="1"/>
  </cols>
  <sheetData>
    <row r="2" spans="2:7" x14ac:dyDescent="0.4">
      <c r="B2" t="s">
        <v>113</v>
      </c>
      <c r="C2" t="s">
        <v>11</v>
      </c>
      <c r="D2" t="s">
        <v>12</v>
      </c>
      <c r="E2" t="s">
        <v>13</v>
      </c>
      <c r="F2" t="s">
        <v>14</v>
      </c>
      <c r="G2" t="s">
        <v>15</v>
      </c>
    </row>
    <row r="3" spans="2:7" x14ac:dyDescent="0.4">
      <c r="B3" t="s">
        <v>114</v>
      </c>
      <c r="C3" s="3">
        <v>0.77500000000000002</v>
      </c>
      <c r="D3" s="3">
        <v>0.57499999999999996</v>
      </c>
      <c r="E3" s="3">
        <v>0.48499999999999999</v>
      </c>
      <c r="F3" s="3">
        <v>0.33</v>
      </c>
      <c r="G3" s="3">
        <v>0.13</v>
      </c>
    </row>
    <row r="4" spans="2:7" x14ac:dyDescent="0.4">
      <c r="B4" t="s">
        <v>115</v>
      </c>
      <c r="C4" s="3">
        <v>0</v>
      </c>
      <c r="D4" s="3">
        <v>0</v>
      </c>
      <c r="E4" s="3">
        <v>0</v>
      </c>
      <c r="F4" s="3">
        <v>0</v>
      </c>
      <c r="G4" s="3">
        <v>0</v>
      </c>
    </row>
    <row r="5" spans="2:7" x14ac:dyDescent="0.4">
      <c r="B5" t="s">
        <v>116</v>
      </c>
      <c r="C5" s="3">
        <v>0.08</v>
      </c>
      <c r="D5" s="3">
        <v>0.16</v>
      </c>
      <c r="E5" s="3">
        <v>0.21</v>
      </c>
      <c r="F5" s="3">
        <v>0.255</v>
      </c>
      <c r="G5" s="3">
        <v>0.30499999999999999</v>
      </c>
    </row>
    <row r="6" spans="2:7" x14ac:dyDescent="0.4">
      <c r="B6" t="s">
        <v>117</v>
      </c>
      <c r="C6" s="3">
        <v>7.4999999999999997E-2</v>
      </c>
      <c r="D6" s="3">
        <v>0.13500000000000001</v>
      </c>
      <c r="E6" s="3">
        <v>0.155</v>
      </c>
      <c r="F6" s="3">
        <v>0.21</v>
      </c>
      <c r="G6" s="3">
        <v>0.28499999999999998</v>
      </c>
    </row>
    <row r="7" spans="2:7" x14ac:dyDescent="0.4">
      <c r="B7" t="s">
        <v>118</v>
      </c>
      <c r="C7" s="3">
        <v>7.0000000000000007E-2</v>
      </c>
      <c r="D7" s="3">
        <v>0.13</v>
      </c>
      <c r="E7" s="3">
        <v>0.15</v>
      </c>
      <c r="F7" s="3">
        <v>0.20499999999999999</v>
      </c>
      <c r="G7" s="3">
        <v>0.28000000000000003</v>
      </c>
    </row>
    <row r="8" spans="2:7" x14ac:dyDescent="0.4">
      <c r="C8" s="90">
        <f>SUM(C3:C7)</f>
        <v>1</v>
      </c>
      <c r="D8" s="90">
        <f t="shared" ref="D8:G8" si="0">SUM(D3:D7)</f>
        <v>1</v>
      </c>
      <c r="E8" s="90">
        <f t="shared" si="0"/>
        <v>1</v>
      </c>
      <c r="F8" s="90">
        <f t="shared" si="0"/>
        <v>0.99999999999999989</v>
      </c>
      <c r="G8" s="90">
        <f t="shared" si="0"/>
        <v>1</v>
      </c>
    </row>
    <row r="10" spans="2:7" x14ac:dyDescent="0.4">
      <c r="B10" t="s">
        <v>113</v>
      </c>
      <c r="C10" s="71" t="str">
        <f>'1 - Informações Básicas'!C35</f>
        <v>Conservador</v>
      </c>
    </row>
    <row r="11" spans="2:7" x14ac:dyDescent="0.4">
      <c r="B11" t="s">
        <v>96</v>
      </c>
      <c r="C11" s="47">
        <f>IF($C$2=$C$10,C3,IF($C$10=$D$2,D3,IF($C$10=$E$2,E3,IF($C$10=$F$2,F3,IF($G$2=$C$10,G3,"")))))</f>
        <v>0.77500000000000002</v>
      </c>
    </row>
    <row r="12" spans="2:7" x14ac:dyDescent="0.4">
      <c r="B12" t="s">
        <v>115</v>
      </c>
      <c r="C12" s="47">
        <f>IF($C$2=$C$10,C4,IF($C$10=$D$2,D4,IF($C$10=$E$2,E4,IF($C$10=$F$2,F4,IF($G$2=$C$10,G4,"")))))</f>
        <v>0</v>
      </c>
    </row>
    <row r="13" spans="2:7" x14ac:dyDescent="0.4">
      <c r="B13" t="s">
        <v>116</v>
      </c>
      <c r="C13" s="47">
        <f>IF($C$2=$C$10,C5,IF($C$10=$D$2,D5,IF($C$10=$E$2,E5,IF($C$10=$F$2,F5,IF($G$2=$C$10,G5,"")))))</f>
        <v>0.08</v>
      </c>
    </row>
    <row r="14" spans="2:7" x14ac:dyDescent="0.4">
      <c r="B14" t="s">
        <v>117</v>
      </c>
      <c r="C14" s="47">
        <f>IF($C$2=$C$10,C6,IF($C$10=$D$2,D6,IF($C$10=$E$2,E6,IF($C$10=$F$2,F6,IF($G$2=$C$10,G6,"")))))</f>
        <v>7.4999999999999997E-2</v>
      </c>
    </row>
    <row r="15" spans="2:7" x14ac:dyDescent="0.4">
      <c r="B15" t="s">
        <v>118</v>
      </c>
      <c r="C15" s="47">
        <f>IF($C$2=$C$10,C7,IF($C$10=$D$2,D7,IF($C$10=$E$2,E7,IF($C$10=$F$2,F7,IF($G$2=$C$10,G7,"")))))</f>
        <v>7.0000000000000007E-2</v>
      </c>
    </row>
    <row r="18" spans="2:3" x14ac:dyDescent="0.4">
      <c r="B18" t="s">
        <v>11</v>
      </c>
      <c r="C18" t="s">
        <v>120</v>
      </c>
    </row>
    <row r="19" spans="2:3" x14ac:dyDescent="0.4">
      <c r="B19" t="s">
        <v>12</v>
      </c>
      <c r="C19" t="s">
        <v>121</v>
      </c>
    </row>
    <row r="20" spans="2:3" x14ac:dyDescent="0.4">
      <c r="B20" t="s">
        <v>13</v>
      </c>
      <c r="C20" t="s">
        <v>122</v>
      </c>
    </row>
    <row r="21" spans="2:3" x14ac:dyDescent="0.4">
      <c r="B21" t="s">
        <v>14</v>
      </c>
      <c r="C21" t="s">
        <v>123</v>
      </c>
    </row>
    <row r="22" spans="2:3" x14ac:dyDescent="0.4">
      <c r="B22" t="s">
        <v>15</v>
      </c>
      <c r="C22" t="s">
        <v>124</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1CDFE-5F3A-4E99-B14A-72FECD3E375F}">
  <dimension ref="A1:Z12"/>
  <sheetViews>
    <sheetView showGridLines="0" showRowColHeaders="0" workbookViewId="0">
      <selection activeCell="J9" sqref="J9:K9"/>
    </sheetView>
  </sheetViews>
  <sheetFormatPr defaultColWidth="0" defaultRowHeight="15" customHeight="1" zeroHeight="1" x14ac:dyDescent="0.4"/>
  <cols>
    <col min="1" max="1" width="21" bestFit="1" customWidth="1"/>
    <col min="2" max="14" width="8.90625" customWidth="1"/>
    <col min="15" max="26" width="8.90625" hidden="1" customWidth="1"/>
    <col min="27" max="16384" width="8.90625" hidden="1"/>
  </cols>
  <sheetData>
    <row r="1" spans="1:26" s="11" customFormat="1" ht="12.75" customHeight="1" x14ac:dyDescent="0.4">
      <c r="A1" s="44"/>
      <c r="B1" s="45"/>
      <c r="C1" s="44"/>
      <c r="D1" s="44"/>
      <c r="E1" s="44"/>
      <c r="F1" s="44"/>
      <c r="G1" s="44"/>
      <c r="H1" s="44"/>
      <c r="I1" s="44"/>
      <c r="J1" s="44"/>
      <c r="K1" s="44"/>
      <c r="L1" s="44"/>
      <c r="M1" s="44"/>
      <c r="N1" s="44"/>
      <c r="O1" s="44"/>
      <c r="P1" s="44"/>
      <c r="Q1" s="44"/>
      <c r="R1" s="44"/>
      <c r="S1" s="44"/>
      <c r="T1" s="44"/>
      <c r="U1" s="44"/>
      <c r="V1" s="44"/>
      <c r="W1" s="44"/>
      <c r="X1" s="44"/>
      <c r="Y1" s="44"/>
      <c r="Z1" s="44"/>
    </row>
    <row r="2" spans="1:26" s="11" customFormat="1" ht="12.7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row>
    <row r="3" spans="1:26" s="5" customFormat="1" ht="1.5" customHeight="1" x14ac:dyDescent="0.4">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s="51" customFormat="1" ht="18" customHeight="1" x14ac:dyDescent="0.4">
      <c r="A4" s="52" t="s">
        <v>0</v>
      </c>
      <c r="B4" s="53"/>
      <c r="C4" s="53"/>
      <c r="D4" s="53"/>
      <c r="E4" s="53"/>
      <c r="F4" s="53"/>
      <c r="G4" s="53"/>
      <c r="H4" s="53"/>
      <c r="I4" s="53"/>
      <c r="J4" s="53"/>
      <c r="K4" s="53"/>
      <c r="L4" s="53"/>
      <c r="M4" s="53"/>
      <c r="N4" s="53"/>
      <c r="O4" s="53"/>
      <c r="P4" s="53"/>
      <c r="Q4" s="53"/>
      <c r="R4" s="53"/>
      <c r="S4" s="53"/>
      <c r="T4" s="53"/>
      <c r="U4" s="53"/>
      <c r="V4" s="53"/>
      <c r="W4" s="53"/>
      <c r="X4" s="53"/>
      <c r="Y4" s="53"/>
      <c r="Z4" s="53"/>
    </row>
    <row r="5" spans="1:26" ht="34.5" customHeight="1" x14ac:dyDescent="0.4">
      <c r="A5" s="60" t="s">
        <v>1</v>
      </c>
      <c r="B5" s="115" t="s">
        <v>44</v>
      </c>
      <c r="C5" s="116"/>
      <c r="D5" s="116"/>
      <c r="E5" s="116"/>
      <c r="F5" s="116"/>
      <c r="G5" s="116"/>
      <c r="H5" s="116"/>
      <c r="I5" s="116"/>
      <c r="J5" s="96" t="s">
        <v>47</v>
      </c>
      <c r="K5" s="96"/>
      <c r="L5" s="96" t="s">
        <v>45</v>
      </c>
      <c r="M5" s="96"/>
      <c r="N5" s="59"/>
    </row>
    <row r="6" spans="1:26" ht="48" customHeight="1" x14ac:dyDescent="0.4">
      <c r="A6" s="55" t="s">
        <v>11</v>
      </c>
      <c r="B6" s="110" t="s">
        <v>120</v>
      </c>
      <c r="C6" s="111"/>
      <c r="D6" s="111"/>
      <c r="E6" s="111"/>
      <c r="F6" s="111"/>
      <c r="G6" s="111"/>
      <c r="H6" s="111"/>
      <c r="I6" s="111"/>
      <c r="J6" s="109">
        <v>0.04</v>
      </c>
      <c r="K6" s="109"/>
      <c r="L6" s="109">
        <v>0.04</v>
      </c>
      <c r="M6" s="109"/>
      <c r="N6" s="57"/>
      <c r="O6" s="51"/>
      <c r="P6" s="51"/>
      <c r="Q6" s="51"/>
      <c r="R6" s="51"/>
      <c r="S6" s="51"/>
      <c r="T6" s="51"/>
      <c r="U6" s="51"/>
      <c r="V6" s="51"/>
      <c r="W6" s="51"/>
      <c r="X6" s="51"/>
      <c r="Y6" s="51"/>
      <c r="Z6" s="51"/>
    </row>
    <row r="7" spans="1:26" ht="48" customHeight="1" x14ac:dyDescent="0.4">
      <c r="A7" s="54" t="s">
        <v>12</v>
      </c>
      <c r="B7" s="114" t="s">
        <v>121</v>
      </c>
      <c r="C7" s="112"/>
      <c r="D7" s="112"/>
      <c r="E7" s="112"/>
      <c r="F7" s="112"/>
      <c r="G7" s="112"/>
      <c r="H7" s="112"/>
      <c r="I7" s="112"/>
      <c r="J7" s="108">
        <v>0.05</v>
      </c>
      <c r="K7" s="108"/>
      <c r="L7" s="108">
        <v>0.05</v>
      </c>
      <c r="M7" s="108"/>
      <c r="N7" s="58"/>
    </row>
    <row r="8" spans="1:26" ht="48" customHeight="1" x14ac:dyDescent="0.4">
      <c r="A8" s="55" t="s">
        <v>13</v>
      </c>
      <c r="B8" s="110" t="s">
        <v>122</v>
      </c>
      <c r="C8" s="111"/>
      <c r="D8" s="111"/>
      <c r="E8" s="111"/>
      <c r="F8" s="111"/>
      <c r="G8" s="111"/>
      <c r="H8" s="111"/>
      <c r="I8" s="111"/>
      <c r="J8" s="109">
        <v>0.06</v>
      </c>
      <c r="K8" s="109"/>
      <c r="L8" s="109">
        <v>0.05</v>
      </c>
      <c r="M8" s="109"/>
      <c r="N8" s="57"/>
      <c r="O8" s="51"/>
      <c r="P8" s="51"/>
      <c r="Q8" s="51"/>
      <c r="R8" s="51"/>
      <c r="S8" s="51"/>
      <c r="T8" s="51"/>
      <c r="U8" s="51"/>
      <c r="V8" s="51"/>
      <c r="W8" s="51"/>
      <c r="X8" s="51"/>
      <c r="Y8" s="51"/>
      <c r="Z8" s="51"/>
    </row>
    <row r="9" spans="1:26" ht="48" customHeight="1" x14ac:dyDescent="0.4">
      <c r="A9" s="54" t="s">
        <v>14</v>
      </c>
      <c r="B9" s="114" t="s">
        <v>123</v>
      </c>
      <c r="C9" s="112"/>
      <c r="D9" s="112"/>
      <c r="E9" s="112"/>
      <c r="F9" s="112"/>
      <c r="G9" s="112"/>
      <c r="H9" s="112"/>
      <c r="I9" s="112"/>
      <c r="J9" s="108">
        <v>6.5000000000000002E-2</v>
      </c>
      <c r="K9" s="108"/>
      <c r="L9" s="108">
        <v>5.5E-2</v>
      </c>
      <c r="M9" s="108"/>
      <c r="N9" s="58"/>
    </row>
    <row r="10" spans="1:26" ht="48" customHeight="1" x14ac:dyDescent="0.4">
      <c r="A10" s="55" t="s">
        <v>15</v>
      </c>
      <c r="B10" s="110" t="s">
        <v>124</v>
      </c>
      <c r="C10" s="111"/>
      <c r="D10" s="111"/>
      <c r="E10" s="111"/>
      <c r="F10" s="111"/>
      <c r="G10" s="111"/>
      <c r="H10" s="111"/>
      <c r="I10" s="111"/>
      <c r="J10" s="109">
        <v>7.0000000000000007E-2</v>
      </c>
      <c r="K10" s="109"/>
      <c r="L10" s="113">
        <v>0.06</v>
      </c>
      <c r="M10" s="113"/>
      <c r="N10" s="57"/>
      <c r="O10" s="51"/>
      <c r="P10" s="51"/>
      <c r="Q10" s="51"/>
      <c r="R10" s="51"/>
      <c r="S10" s="51"/>
      <c r="T10" s="51"/>
      <c r="U10" s="51"/>
      <c r="V10" s="51"/>
      <c r="W10" s="51"/>
      <c r="X10" s="51"/>
      <c r="Y10" s="51"/>
      <c r="Z10" s="51"/>
    </row>
    <row r="11" spans="1:26" ht="48" customHeight="1" x14ac:dyDescent="0.4">
      <c r="A11" s="112" t="s">
        <v>46</v>
      </c>
      <c r="B11" s="112"/>
      <c r="C11" s="112"/>
      <c r="D11" s="112"/>
      <c r="E11" s="112"/>
      <c r="F11" s="112"/>
      <c r="G11" s="112"/>
      <c r="H11" s="112"/>
      <c r="I11" s="112"/>
      <c r="J11" s="112"/>
      <c r="K11" s="112"/>
      <c r="L11" s="112"/>
      <c r="M11" s="112"/>
      <c r="N11" s="58"/>
    </row>
    <row r="12" spans="1:26" ht="34.5" hidden="1" customHeight="1" x14ac:dyDescent="0.4">
      <c r="A12" s="55"/>
      <c r="B12" s="56"/>
      <c r="C12" s="57"/>
      <c r="D12" s="57"/>
      <c r="E12" s="57"/>
      <c r="F12" s="57"/>
      <c r="G12" s="57"/>
      <c r="H12" s="57"/>
      <c r="I12" s="57"/>
      <c r="J12" s="57"/>
      <c r="K12" s="57"/>
      <c r="L12" s="57"/>
      <c r="M12" s="57"/>
      <c r="N12" s="57"/>
      <c r="O12" s="51"/>
      <c r="P12" s="51"/>
      <c r="Q12" s="51"/>
      <c r="R12" s="51"/>
      <c r="S12" s="51"/>
      <c r="T12" s="51"/>
      <c r="U12" s="51"/>
      <c r="V12" s="51"/>
      <c r="W12" s="51"/>
      <c r="X12" s="51"/>
      <c r="Y12" s="51"/>
      <c r="Z12" s="51"/>
    </row>
  </sheetData>
  <sheetProtection algorithmName="SHA-512" hashValue="bowVGD4Bunjw9l+Xf0dmbo3r5CD/CyVjV7Op5Ta76B8EailX+0B7qdmT+XqUUiptVmfe3F6QaSqiNBqQ/W+n2Q==" saltValue="FACG7W5Gx/BBHJGl4Pi1Ig==" spinCount="100000" sheet="1" objects="1" scenarios="1"/>
  <mergeCells count="20">
    <mergeCell ref="A3:Z3"/>
    <mergeCell ref="B6:I6"/>
    <mergeCell ref="B7:I7"/>
    <mergeCell ref="B9:I9"/>
    <mergeCell ref="B8:I8"/>
    <mergeCell ref="J5:K5"/>
    <mergeCell ref="L5:M5"/>
    <mergeCell ref="B5:I5"/>
    <mergeCell ref="J6:K6"/>
    <mergeCell ref="J7:K7"/>
    <mergeCell ref="L6:M6"/>
    <mergeCell ref="L7:M7"/>
    <mergeCell ref="J8:K8"/>
    <mergeCell ref="J9:K9"/>
    <mergeCell ref="L8:M8"/>
    <mergeCell ref="L9:M9"/>
    <mergeCell ref="B10:I10"/>
    <mergeCell ref="A11:M11"/>
    <mergeCell ref="J10:K10"/>
    <mergeCell ref="L10:M10"/>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0A2D-6D9F-4377-9A2B-CE991338D63C}">
  <dimension ref="A1:Z12"/>
  <sheetViews>
    <sheetView showGridLines="0" showRowColHeaders="0" zoomScale="130" zoomScaleNormal="130" workbookViewId="0">
      <selection activeCell="O1" sqref="O1:Z1048576"/>
    </sheetView>
  </sheetViews>
  <sheetFormatPr defaultColWidth="0" defaultRowHeight="16.2" zeroHeight="1" x14ac:dyDescent="0.4"/>
  <cols>
    <col min="1" max="1" width="21" bestFit="1" customWidth="1"/>
    <col min="2" max="14" width="8.90625" customWidth="1"/>
    <col min="15" max="26" width="8.90625" hidden="1" customWidth="1"/>
    <col min="27" max="16384" width="8.90625" hidden="1"/>
  </cols>
  <sheetData>
    <row r="1" spans="1:26" s="11" customFormat="1" ht="12.75" customHeight="1" x14ac:dyDescent="0.4">
      <c r="A1" s="44"/>
      <c r="B1" s="45"/>
      <c r="C1" s="44"/>
      <c r="D1" s="44"/>
      <c r="E1" s="44"/>
      <c r="F1" s="44"/>
      <c r="G1" s="44"/>
      <c r="H1" s="44"/>
      <c r="I1" s="44"/>
      <c r="J1" s="44"/>
      <c r="K1" s="44"/>
      <c r="L1" s="44"/>
      <c r="M1" s="44"/>
      <c r="N1" s="44"/>
      <c r="O1" s="44"/>
      <c r="P1" s="44"/>
      <c r="Q1" s="44"/>
      <c r="R1" s="44"/>
      <c r="S1" s="44"/>
      <c r="T1" s="44"/>
      <c r="U1" s="44"/>
      <c r="V1" s="44"/>
      <c r="W1" s="44"/>
      <c r="X1" s="44"/>
      <c r="Y1" s="44"/>
      <c r="Z1" s="44"/>
    </row>
    <row r="2" spans="1:26" s="11" customFormat="1" ht="12.7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row>
    <row r="3" spans="1:26" s="5" customFormat="1" ht="1.5" customHeight="1" x14ac:dyDescent="0.4">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s="51" customFormat="1" ht="18" customHeight="1" x14ac:dyDescent="0.4">
      <c r="A4" s="52" t="s">
        <v>36</v>
      </c>
      <c r="B4" s="53"/>
      <c r="C4" s="53"/>
      <c r="D4" s="53"/>
      <c r="E4" s="53"/>
      <c r="F4" s="53"/>
      <c r="G4" s="53"/>
      <c r="H4" s="53"/>
      <c r="I4" s="53"/>
      <c r="J4" s="53"/>
      <c r="K4" s="53"/>
      <c r="L4" s="53"/>
      <c r="M4" s="53"/>
      <c r="N4" s="53"/>
      <c r="O4" s="53"/>
      <c r="P4" s="53"/>
      <c r="Q4" s="53"/>
      <c r="R4" s="53"/>
      <c r="S4" s="53"/>
      <c r="T4" s="53"/>
      <c r="U4" s="53"/>
      <c r="V4" s="53"/>
      <c r="W4" s="53"/>
      <c r="X4" s="53"/>
      <c r="Y4" s="53"/>
      <c r="Z4" s="53"/>
    </row>
    <row r="5" spans="1:26" ht="34.5" customHeight="1" x14ac:dyDescent="0.4">
      <c r="A5" s="54" t="s">
        <v>35</v>
      </c>
      <c r="B5" s="114" t="s">
        <v>37</v>
      </c>
      <c r="C5" s="112"/>
      <c r="D5" s="112"/>
      <c r="E5" s="112"/>
      <c r="F5" s="112"/>
      <c r="G5" s="112"/>
      <c r="H5" s="112"/>
      <c r="I5" s="112"/>
      <c r="J5" s="112"/>
      <c r="K5" s="112"/>
      <c r="L5" s="112"/>
      <c r="M5" s="112"/>
      <c r="N5" s="112"/>
    </row>
    <row r="6" spans="1:26" ht="34.5" customHeight="1" x14ac:dyDescent="0.4">
      <c r="A6" s="55" t="s">
        <v>5</v>
      </c>
      <c r="B6" s="119" t="s">
        <v>43</v>
      </c>
      <c r="C6" s="120"/>
      <c r="D6" s="120"/>
      <c r="E6" s="120"/>
      <c r="F6" s="120"/>
      <c r="G6" s="120"/>
      <c r="H6" s="120"/>
      <c r="I6" s="120"/>
      <c r="J6" s="120"/>
      <c r="K6" s="120"/>
      <c r="L6" s="120"/>
      <c r="M6" s="120"/>
      <c r="N6" s="120"/>
      <c r="O6" s="51"/>
      <c r="P6" s="51"/>
      <c r="Q6" s="51"/>
      <c r="R6" s="51"/>
      <c r="S6" s="51"/>
      <c r="T6" s="51"/>
      <c r="U6" s="51"/>
      <c r="V6" s="51"/>
      <c r="W6" s="51"/>
      <c r="X6" s="51"/>
      <c r="Y6" s="51"/>
      <c r="Z6" s="51"/>
    </row>
    <row r="7" spans="1:26" ht="34.5" customHeight="1" x14ac:dyDescent="0.4">
      <c r="A7" s="54" t="s">
        <v>3</v>
      </c>
      <c r="B7" s="117" t="s">
        <v>38</v>
      </c>
      <c r="C7" s="118"/>
      <c r="D7" s="118"/>
      <c r="E7" s="118"/>
      <c r="F7" s="118"/>
      <c r="G7" s="118"/>
      <c r="H7" s="118"/>
      <c r="I7" s="118"/>
      <c r="J7" s="118"/>
      <c r="K7" s="118"/>
      <c r="L7" s="118"/>
      <c r="M7" s="118"/>
      <c r="N7" s="118"/>
    </row>
    <row r="8" spans="1:26" ht="34.5" customHeight="1" x14ac:dyDescent="0.4">
      <c r="A8" s="55" t="s">
        <v>7</v>
      </c>
      <c r="B8" s="119" t="s">
        <v>39</v>
      </c>
      <c r="C8" s="120"/>
      <c r="D8" s="120"/>
      <c r="E8" s="120"/>
      <c r="F8" s="120"/>
      <c r="G8" s="120"/>
      <c r="H8" s="120"/>
      <c r="I8" s="120"/>
      <c r="J8" s="120"/>
      <c r="K8" s="120"/>
      <c r="L8" s="120"/>
      <c r="M8" s="120"/>
      <c r="N8" s="120"/>
      <c r="O8" s="51"/>
      <c r="P8" s="51"/>
      <c r="Q8" s="51"/>
      <c r="R8" s="51"/>
      <c r="S8" s="51"/>
      <c r="T8" s="51"/>
      <c r="U8" s="51"/>
      <c r="V8" s="51"/>
      <c r="W8" s="51"/>
      <c r="X8" s="51"/>
      <c r="Y8" s="51"/>
      <c r="Z8" s="51"/>
    </row>
    <row r="9" spans="1:26" ht="34.5" customHeight="1" x14ac:dyDescent="0.4">
      <c r="A9" s="54" t="s">
        <v>6</v>
      </c>
      <c r="B9" s="117" t="s">
        <v>40</v>
      </c>
      <c r="C9" s="118"/>
      <c r="D9" s="118"/>
      <c r="E9" s="118"/>
      <c r="F9" s="118"/>
      <c r="G9" s="118"/>
      <c r="H9" s="118"/>
      <c r="I9" s="118"/>
      <c r="J9" s="118"/>
      <c r="K9" s="118"/>
      <c r="L9" s="118"/>
      <c r="M9" s="118"/>
      <c r="N9" s="118"/>
    </row>
    <row r="10" spans="1:26" ht="34.5" customHeight="1" x14ac:dyDescent="0.4">
      <c r="A10" s="55" t="s">
        <v>8</v>
      </c>
      <c r="B10" s="119" t="s">
        <v>41</v>
      </c>
      <c r="C10" s="120"/>
      <c r="D10" s="120"/>
      <c r="E10" s="120"/>
      <c r="F10" s="120"/>
      <c r="G10" s="120"/>
      <c r="H10" s="120"/>
      <c r="I10" s="120"/>
      <c r="J10" s="120"/>
      <c r="K10" s="120"/>
      <c r="L10" s="120"/>
      <c r="M10" s="120"/>
      <c r="N10" s="120"/>
      <c r="O10" s="51"/>
      <c r="P10" s="51"/>
      <c r="Q10" s="51"/>
      <c r="R10" s="51"/>
      <c r="S10" s="51"/>
      <c r="T10" s="51"/>
      <c r="U10" s="51"/>
      <c r="V10" s="51"/>
      <c r="W10" s="51"/>
      <c r="X10" s="51"/>
      <c r="Y10" s="51"/>
      <c r="Z10" s="51"/>
    </row>
    <row r="11" spans="1:26" ht="34.5" customHeight="1" x14ac:dyDescent="0.4">
      <c r="A11" s="54" t="s">
        <v>16</v>
      </c>
      <c r="B11" s="117" t="s">
        <v>42</v>
      </c>
      <c r="C11" s="118"/>
      <c r="D11" s="118"/>
      <c r="E11" s="118"/>
      <c r="F11" s="118"/>
      <c r="G11" s="118"/>
      <c r="H11" s="118"/>
      <c r="I11" s="118"/>
      <c r="J11" s="118"/>
      <c r="K11" s="118"/>
      <c r="L11" s="118"/>
      <c r="M11" s="118"/>
      <c r="N11" s="118"/>
    </row>
    <row r="12" spans="1:26" ht="34.5" customHeight="1" x14ac:dyDescent="0.4">
      <c r="A12" s="55" t="s">
        <v>29</v>
      </c>
      <c r="B12" s="119" t="s">
        <v>48</v>
      </c>
      <c r="C12" s="120"/>
      <c r="D12" s="120"/>
      <c r="E12" s="120"/>
      <c r="F12" s="120"/>
      <c r="G12" s="120"/>
      <c r="H12" s="120"/>
      <c r="I12" s="120"/>
      <c r="J12" s="120"/>
      <c r="K12" s="120"/>
      <c r="L12" s="120"/>
      <c r="M12" s="120"/>
      <c r="N12" s="120"/>
      <c r="O12" s="51"/>
      <c r="P12" s="51"/>
      <c r="Q12" s="51"/>
      <c r="R12" s="51"/>
      <c r="S12" s="51"/>
      <c r="T12" s="51"/>
      <c r="U12" s="51"/>
      <c r="V12" s="51"/>
      <c r="W12" s="51"/>
      <c r="X12" s="51"/>
      <c r="Y12" s="51"/>
      <c r="Z12" s="51"/>
    </row>
  </sheetData>
  <sheetProtection algorithmName="SHA-512" hashValue="+8RaeQhVL33IRf4J/5COWTIp5WkP/FcJxko2VusakUy9dzf2KajUFI27eL57VJR7xdKR7WEDBpRXteyJ77XKNQ==" saltValue="kDgIHuXePclVjDP9pMvSmQ==" spinCount="100000" sheet="1" objects="1" scenarios="1"/>
  <mergeCells count="9">
    <mergeCell ref="A3:Z3"/>
    <mergeCell ref="B11:N11"/>
    <mergeCell ref="B12:N12"/>
    <mergeCell ref="B5:N5"/>
    <mergeCell ref="B6:N6"/>
    <mergeCell ref="B7:N7"/>
    <mergeCell ref="B8:N8"/>
    <mergeCell ref="B9:N9"/>
    <mergeCell ref="B10:N10"/>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Instruções</vt:lpstr>
      <vt:lpstr>1 - Informações Básicas</vt:lpstr>
      <vt:lpstr>2 - Gráficos</vt:lpstr>
      <vt:lpstr>Apoio</vt:lpstr>
      <vt:lpstr>Apoio_ Suitability</vt:lpstr>
      <vt:lpstr>Apoio_Carteira</vt:lpstr>
      <vt:lpstr>3 - Premissas</vt:lpstr>
      <vt:lpstr>4 - Glossário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Evandro Valle</dc:creator>
  <cp:lastModifiedBy>erick.monteiro erick.monteiro</cp:lastModifiedBy>
  <dcterms:created xsi:type="dcterms:W3CDTF">2022-08-30T15:03:27Z</dcterms:created>
  <dcterms:modified xsi:type="dcterms:W3CDTF">2025-04-07T13:40:32Z</dcterms:modified>
</cp:coreProperties>
</file>