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Valter\Downloads\"/>
    </mc:Choice>
  </mc:AlternateContent>
  <xr:revisionPtr revIDLastSave="0" documentId="13_ncr:1_{C3E11D8E-7807-41C9-B14E-0F43FCB31373}" xr6:coauthVersionLast="47" xr6:coauthVersionMax="47" xr10:uidLastSave="{00000000-0000-0000-0000-000000000000}"/>
  <workbookProtection workbookAlgorithmName="SHA-512" workbookHashValue="vRIFWoWPHsC1CDmcyZ06aKGEU8De5zl4LogboPyZvll/xKp78K7mkGTxW1+CJI4kZAglxzDtEpvbpSw/+5NPrg==" workbookSaltValue="GbZ0ZLAYV5G4eblNxagWrA==" workbookSpinCount="100000" lockStructure="1"/>
  <bookViews>
    <workbookView xWindow="-120" yWindow="-120" windowWidth="20730" windowHeight="11040" xr2:uid="{10100E7C-BD36-4002-9A36-EF6463860484}"/>
  </bookViews>
  <sheets>
    <sheet name="Gráfico" sheetId="1" r:id="rId1"/>
    <sheet name="Apoio" sheetId="3" state="hidden" r:id="rId2"/>
    <sheet name="Premissas" sheetId="6" r:id="rId3"/>
    <sheet name="Glossário"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3" l="1"/>
  <c r="B15" i="3"/>
  <c r="B16" i="3" s="1"/>
  <c r="C16" i="1" s="1"/>
  <c r="B9" i="3"/>
  <c r="B8" i="3"/>
  <c r="F5" i="1"/>
  <c r="L5" i="1"/>
  <c r="B12" i="3" s="1"/>
  <c r="C18" i="3" l="1"/>
  <c r="B20" i="3"/>
  <c r="C20" i="1" s="1"/>
  <c r="B13" i="3"/>
  <c r="B18" i="3" s="1"/>
  <c r="F9" i="3"/>
  <c r="G9" i="3" s="1"/>
  <c r="B10" i="3"/>
  <c r="C13" i="1"/>
  <c r="C14" i="1" s="1"/>
  <c r="E23" i="3" l="1"/>
  <c r="C19" i="1"/>
  <c r="C15" i="1" s="1"/>
  <c r="C17" i="1"/>
  <c r="E22" i="3"/>
  <c r="B22" i="3" l="1"/>
  <c r="B19" i="3"/>
  <c r="B25" i="3" s="1"/>
  <c r="C18" i="1" s="1"/>
  <c r="I9" i="3"/>
  <c r="L9" i="3" s="1"/>
  <c r="F17" i="3"/>
  <c r="G17" i="3" s="1"/>
  <c r="J9" i="3" l="1"/>
  <c r="H9" i="3" s="1"/>
  <c r="B23" i="3"/>
  <c r="B24" i="3" s="1"/>
  <c r="E17" i="3"/>
  <c r="E10" i="3" s="1"/>
  <c r="F10" i="3" s="1"/>
  <c r="I10" i="3" s="1"/>
  <c r="L10" i="3" s="1"/>
  <c r="I17" i="3"/>
  <c r="L17" i="3" s="1"/>
  <c r="J17" i="3" l="1"/>
  <c r="H17" i="3" s="1"/>
  <c r="J10" i="3"/>
  <c r="H10" i="3" s="1"/>
  <c r="G10" i="3"/>
  <c r="E18" i="3"/>
  <c r="F18" i="3" s="1"/>
  <c r="I18" i="3" s="1"/>
  <c r="L18" i="3" s="1"/>
  <c r="E11" i="3"/>
  <c r="F11" i="3" s="1"/>
  <c r="G11" i="3" s="1"/>
  <c r="D11" i="3"/>
  <c r="J18" i="3" l="1"/>
  <c r="H18" i="3" s="1"/>
  <c r="G18" i="3"/>
  <c r="E12" i="3"/>
  <c r="E13" i="3" s="1"/>
  <c r="F13" i="3" s="1"/>
  <c r="I13" i="3" s="1"/>
  <c r="L13" i="3" s="1"/>
  <c r="I11" i="3"/>
  <c r="L11" i="3" s="1"/>
  <c r="J13" i="3" l="1"/>
  <c r="H13" i="3" s="1"/>
  <c r="J11" i="3"/>
  <c r="H11" i="3" s="1"/>
  <c r="F12" i="3"/>
  <c r="I12" i="3" s="1"/>
  <c r="L12" i="3" s="1"/>
  <c r="E14" i="3"/>
  <c r="F14" i="3" s="1"/>
  <c r="I14" i="3" s="1"/>
  <c r="L14" i="3" s="1"/>
  <c r="G13" i="3"/>
  <c r="J14" i="3" l="1"/>
  <c r="H14" i="3" s="1"/>
  <c r="J12" i="3"/>
  <c r="H12" i="3" s="1"/>
  <c r="G12" i="3"/>
  <c r="E15" i="3"/>
  <c r="E16" i="3" s="1"/>
  <c r="F16" i="3" s="1"/>
  <c r="I16" i="3" s="1"/>
  <c r="L16" i="3" s="1"/>
  <c r="G14" i="3"/>
  <c r="J16" i="3" l="1"/>
  <c r="H16" i="3" s="1"/>
  <c r="G16" i="3"/>
  <c r="F15" i="3"/>
  <c r="I15" i="3" s="1"/>
  <c r="L15" i="3" s="1"/>
  <c r="J15" i="3" l="1"/>
  <c r="H15" i="3" s="1"/>
  <c r="G15" i="3"/>
</calcChain>
</file>

<file path=xl/sharedStrings.xml><?xml version="1.0" encoding="utf-8"?>
<sst xmlns="http://schemas.openxmlformats.org/spreadsheetml/2006/main" count="82" uniqueCount="62">
  <si>
    <t>Data de nascimento</t>
  </si>
  <si>
    <t>Premissas</t>
  </si>
  <si>
    <t>Perfil</t>
  </si>
  <si>
    <t>Patrimônio atual</t>
  </si>
  <si>
    <t>Aporte mensal</t>
  </si>
  <si>
    <t>Idade aposentadoria</t>
  </si>
  <si>
    <t>Renda desejada</t>
  </si>
  <si>
    <t>Idade</t>
  </si>
  <si>
    <t>Renda ao aposentar</t>
  </si>
  <si>
    <t>Renda hoje</t>
  </si>
  <si>
    <t>% Meta</t>
  </si>
  <si>
    <t>Aporte necessário</t>
  </si>
  <si>
    <t>Patrimônio necessário</t>
  </si>
  <si>
    <t>Idade atingimento</t>
  </si>
  <si>
    <t>Retorno</t>
  </si>
  <si>
    <t>Yield</t>
  </si>
  <si>
    <t>Conservador</t>
  </si>
  <si>
    <t>Moderado</t>
  </si>
  <si>
    <t>Dinâmico</t>
  </si>
  <si>
    <t>Arrojado</t>
  </si>
  <si>
    <t>Sofisticado</t>
  </si>
  <si>
    <t>Capital ao aposentar</t>
  </si>
  <si>
    <t>Data base</t>
  </si>
  <si>
    <t>Data aposentadoria</t>
  </si>
  <si>
    <t>Dias até a aposentadoria</t>
  </si>
  <si>
    <t>PMT Diário</t>
  </si>
  <si>
    <t>Retorno a.d.</t>
  </si>
  <si>
    <t>Yield a.a. perfil</t>
  </si>
  <si>
    <t>Yield a.m. perfil</t>
  </si>
  <si>
    <t>Data atingimento</t>
  </si>
  <si>
    <t>Data</t>
  </si>
  <si>
    <t>Anos</t>
  </si>
  <si>
    <t>Meta</t>
  </si>
  <si>
    <t>Patrimônio</t>
  </si>
  <si>
    <t>Rentabilidade necessária</t>
  </si>
  <si>
    <t>Retorno Projetado a.a.</t>
  </si>
  <si>
    <t>Retorno a.m.</t>
  </si>
  <si>
    <t>Taxa necessária a.m.</t>
  </si>
  <si>
    <t>Datadif Y</t>
  </si>
  <si>
    <t>Datadif M</t>
  </si>
  <si>
    <t>Renda Hoje</t>
  </si>
  <si>
    <t>Glossário</t>
  </si>
  <si>
    <t>Patrimônio atual multiplicado pelo Yield (rendimento) correspondente ao perfil selecionado. Indica o potencial de geração de renda passiva proveniente dos seus investimentos.</t>
  </si>
  <si>
    <t>Yield do patrimônio acumulado na aposentadoria considerando as premissas informadas (aporte, patrimônio atual e perfil).</t>
  </si>
  <si>
    <t>Patrimônio necessário para proporcionar a renda meta informada, considerando o Yield correspondente ao perfil.</t>
  </si>
  <si>
    <t>Aporte mensal necessário para atingir o patrimônio que proporcionaria a renda meta considerando as premissas informadas (idade de aposentadoria, patrimônio atual e perfil).</t>
  </si>
  <si>
    <t>Idade ao atingir o patrimônio que proporcionaria a renda meta considerando as premissas informadas (patrimônio atual, aporte mensal e perfil).</t>
  </si>
  <si>
    <t>Patrimônio acumulado na aposentadoria considerando as premissas informadas (aporte, patrimônio atual, perfil e idade de aposentadoria).</t>
  </si>
  <si>
    <t>Percentual já atingido da meta de renda passiva: renda hoje dividida pela renda meta.</t>
  </si>
  <si>
    <t>Investidor que busca segurança e pouca oscilação do valor de marcado de seus investimentos. Se sente mais à vontade com produtos mais líquidos. Está safisteito com proteção patrimonial e pouca volatilidade. Não pretende incorrer em períodos de rentabilidade negativa.</t>
  </si>
  <si>
    <t>Investidor que aceita mais risco, em parcela maior de sua carteira, por períodos mais prolongados (cerca de 12 meses), para buscar rentabilidades superiores no longo prazo. Conserva, ainda, uma parte de seu capital em ativos mais seguros.</t>
  </si>
  <si>
    <t>Descrição</t>
  </si>
  <si>
    <t>Yield Projetado</t>
  </si>
  <si>
    <t>Investidor que aceita risco em parcela maior de sua carteira por períodos prolongados (cerca de 12 meses), objetivando rentabilidades superiores no longo prazo. Conserva parte de seu capital em ativos mais seguros.</t>
  </si>
  <si>
    <t>Investidor que aceita maior risco em busca de retorno. Aceita oscilações negativas significativas por prazos longos. Possui conhecimento do mercado e entende que momentos de quedas nos preços podem ser oportunidades de novas compras. Concentra maior parte do seu patrimônio em ativos de renda variável.</t>
  </si>
  <si>
    <t>Investidor que aceita oscilação negativa de preços de seus ativos, por períodos curtos e em parcela menor de capital total. Busca uma rentabilidade superior à rentabilidade de títulos pós-fixados ao CDI no longo prazo.</t>
  </si>
  <si>
    <t>Os números apresentados se baseiam nas respostas ao questionário e em projeções de mercado. Tais dados não devem ser tratados como promessa de rentabilidade. As taxas de capitalização e rendimento (yield) são calculadas de acordo com o perfil de risco informado, com base na tolerância a risco do investidor.</t>
  </si>
  <si>
    <t>Retorno real Projetado</t>
  </si>
  <si>
    <t>Rentabilidade real necessária para atingir o patrimônio que proporcionaria a renda meta considerando as premissas informadas (aporte, patrimônio atual e idade de aposentadoria).</t>
  </si>
  <si>
    <t>Idade 2</t>
  </si>
  <si>
    <t xml:space="preserve">Coloque o seu plano em prática com o apoio de um Consultor da Suno Consultoria. 
Clique no botão abaixo para agendar uma reunião com o nosso time de especialistas. </t>
  </si>
  <si>
    <t xml:space="preserve">Quero agendar uma reunião!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</si>
</sst>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R$&quot;\ #,##0;\-&quot;R$&quot;\ #,##0"/>
    <numFmt numFmtId="44" formatCode="_-&quot;R$&quot;\ * #,##0.00_-;\-&quot;R$&quot;\ * #,##0.00_-;_-&quot;R$&quot;\ * &quot;-&quot;??_-;_-@_-"/>
    <numFmt numFmtId="43" formatCode="_-* #,##0.00_-;\-* #,##0.00_-;_-* &quot;-&quot;??_-;_-@_-"/>
    <numFmt numFmtId="164" formatCode="_-* #,##0_-;\-* #,##0_-;_-* &quot;-&quot;??_-;_-@_-"/>
    <numFmt numFmtId="165" formatCode="#,##0_ ;\-#,##0\ "/>
    <numFmt numFmtId="166" formatCode="#,##0.00_ ;\-#,##0.00\ "/>
    <numFmt numFmtId="167" formatCode="0.0000"/>
  </numFmts>
  <fonts count="10" x14ac:knownFonts="1">
    <font>
      <sz val="10"/>
      <color theme="1"/>
      <name val="Montserrat"/>
      <family val="2"/>
    </font>
    <font>
      <sz val="10"/>
      <color theme="1"/>
      <name val="Montserrat"/>
      <family val="2"/>
    </font>
    <font>
      <sz val="10"/>
      <color theme="0"/>
      <name val="Montserrat SemiBold"/>
    </font>
    <font>
      <sz val="10"/>
      <color theme="1"/>
      <name val="Montserrat SemiBold"/>
    </font>
    <font>
      <sz val="8"/>
      <color theme="1" tint="0.249977111117893"/>
      <name val="Montserrat"/>
      <family val="2"/>
    </font>
    <font>
      <sz val="10"/>
      <color theme="1" tint="0.249977111117893"/>
      <name val="Montserrat"/>
      <family val="2"/>
    </font>
    <font>
      <sz val="10"/>
      <color theme="1" tint="0.249977111117893"/>
      <name val="Montserrat SemiBold"/>
    </font>
    <font>
      <b/>
      <sz val="14"/>
      <color theme="0"/>
      <name val="Montserrat"/>
    </font>
    <font>
      <b/>
      <sz val="12"/>
      <color theme="0"/>
      <name val="Montserrat"/>
    </font>
    <font>
      <u/>
      <sz val="10"/>
      <color theme="10"/>
      <name val="Montserrat"/>
      <family val="2"/>
    </font>
  </fonts>
  <fills count="9">
    <fill>
      <patternFill patternType="none"/>
    </fill>
    <fill>
      <patternFill patternType="gray125"/>
    </fill>
    <fill>
      <patternFill patternType="solid">
        <fgColor theme="0" tint="-4.9989318521683403E-2"/>
        <bgColor indexed="64"/>
      </patternFill>
    </fill>
    <fill>
      <patternFill patternType="solid">
        <fgColor theme="1" tint="0.249977111117893"/>
        <bgColor indexed="64"/>
      </patternFill>
    </fill>
    <fill>
      <gradientFill degree="180">
        <stop position="0">
          <color theme="1" tint="0.25098422193060094"/>
        </stop>
        <stop position="1">
          <color theme="0" tint="-0.1490218817712943"/>
        </stop>
      </gradientFill>
    </fill>
    <fill>
      <patternFill patternType="solid">
        <fgColor theme="2" tint="-0.499984740745262"/>
        <bgColor indexed="64"/>
      </patternFill>
    </fill>
    <fill>
      <patternFill patternType="solid">
        <fgColor theme="2"/>
        <bgColor indexed="64"/>
      </patternFill>
    </fill>
    <fill>
      <patternFill patternType="solid">
        <fgColor theme="0" tint="-0.14999847407452621"/>
        <bgColor indexed="64"/>
      </patternFill>
    </fill>
    <fill>
      <patternFill patternType="solid">
        <fgColor rgb="FF067A19"/>
        <bgColor indexed="64"/>
      </patternFill>
    </fill>
  </fills>
  <borders count="18">
    <border>
      <left/>
      <right/>
      <top/>
      <bottom/>
      <diagonal/>
    </border>
    <border>
      <left/>
      <right/>
      <top/>
      <bottom style="thin">
        <color theme="0"/>
      </bottom>
      <diagonal/>
    </border>
    <border>
      <left/>
      <right/>
      <top style="thin">
        <color theme="0"/>
      </top>
      <bottom style="thin">
        <color theme="0"/>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499984740745262"/>
      </bottom>
      <diagonal/>
    </border>
    <border>
      <left/>
      <right/>
      <top style="thin">
        <color theme="0"/>
      </top>
      <bottom style="thin">
        <color theme="0" tint="-0.499984740745262"/>
      </bottom>
      <diagonal/>
    </border>
    <border>
      <left/>
      <right style="thin">
        <color theme="0" tint="-0.14996795556505021"/>
      </right>
      <top/>
      <bottom/>
      <diagonal/>
    </border>
    <border>
      <left style="thin">
        <color theme="0" tint="-0.14996795556505021"/>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cellStyleXfs>
  <cellXfs count="85">
    <xf numFmtId="0" fontId="0" fillId="0" borderId="0" xfId="0"/>
    <xf numFmtId="43" fontId="0" fillId="0" borderId="0" xfId="1" applyFont="1"/>
    <xf numFmtId="164" fontId="0" fillId="0" borderId="0" xfId="1" applyNumberFormat="1" applyFont="1"/>
    <xf numFmtId="10" fontId="0" fillId="0" borderId="0" xfId="0" applyNumberFormat="1"/>
    <xf numFmtId="0" fontId="0" fillId="0" borderId="0" xfId="0" applyAlignment="1">
      <alignment vertical="center"/>
    </xf>
    <xf numFmtId="0" fontId="0" fillId="2" borderId="0" xfId="0" applyFill="1" applyAlignment="1">
      <alignment vertical="center"/>
    </xf>
    <xf numFmtId="14" fontId="0" fillId="0" borderId="0" xfId="0" applyNumberFormat="1"/>
    <xf numFmtId="165" fontId="2" fillId="5" borderId="3" xfId="1" applyNumberFormat="1" applyFont="1" applyFill="1" applyBorder="1" applyAlignment="1">
      <alignment horizontal="center" vertical="center"/>
    </xf>
    <xf numFmtId="10" fontId="2" fillId="5" borderId="4" xfId="2" applyNumberFormat="1" applyFont="1" applyFill="1" applyBorder="1" applyAlignment="1">
      <alignment horizontal="center" vertical="center"/>
    </xf>
    <xf numFmtId="166" fontId="2" fillId="5" borderId="4" xfId="1" applyNumberFormat="1" applyFont="1" applyFill="1" applyBorder="1" applyAlignment="1">
      <alignment horizontal="center" vertical="center"/>
    </xf>
    <xf numFmtId="167" fontId="0" fillId="0" borderId="0" xfId="0" applyNumberFormat="1"/>
    <xf numFmtId="0" fontId="0" fillId="6" borderId="0" xfId="0" applyFill="1" applyAlignment="1">
      <alignment vertical="center"/>
    </xf>
    <xf numFmtId="0" fontId="0" fillId="0" borderId="6" xfId="0" applyBorder="1"/>
    <xf numFmtId="0" fontId="0" fillId="0" borderId="7" xfId="0" applyBorder="1"/>
    <xf numFmtId="0" fontId="0" fillId="0" borderId="8" xfId="0" applyBorder="1"/>
    <xf numFmtId="0" fontId="0" fillId="0" borderId="9" xfId="0" applyBorder="1"/>
    <xf numFmtId="1" fontId="0" fillId="0" borderId="0" xfId="0" applyNumberFormat="1"/>
    <xf numFmtId="9" fontId="0" fillId="0" borderId="0" xfId="0" applyNumberFormat="1" applyAlignment="1">
      <alignment horizontal="center"/>
    </xf>
    <xf numFmtId="164" fontId="0" fillId="0" borderId="0" xfId="1" applyNumberFormat="1" applyFont="1" applyBorder="1"/>
    <xf numFmtId="43" fontId="0" fillId="0" borderId="0" xfId="0" applyNumberFormat="1"/>
    <xf numFmtId="0" fontId="0" fillId="0" borderId="10" xfId="0" applyBorder="1"/>
    <xf numFmtId="43" fontId="0" fillId="0" borderId="9" xfId="0" applyNumberFormat="1" applyBorder="1"/>
    <xf numFmtId="43" fontId="0" fillId="7" borderId="9" xfId="0" applyNumberFormat="1" applyFill="1" applyBorder="1"/>
    <xf numFmtId="14" fontId="0" fillId="7" borderId="0" xfId="0" applyNumberFormat="1" applyFill="1"/>
    <xf numFmtId="43" fontId="0" fillId="0" borderId="11" xfId="0" applyNumberFormat="1" applyBorder="1"/>
    <xf numFmtId="14" fontId="0" fillId="0" borderId="12" xfId="0" applyNumberFormat="1" applyBorder="1"/>
    <xf numFmtId="1" fontId="0" fillId="0" borderId="12" xfId="0" applyNumberFormat="1" applyBorder="1"/>
    <xf numFmtId="9" fontId="0" fillId="0" borderId="12" xfId="0" applyNumberFormat="1" applyBorder="1" applyAlignment="1">
      <alignment horizontal="center"/>
    </xf>
    <xf numFmtId="164" fontId="0" fillId="0" borderId="12" xfId="1" applyNumberFormat="1" applyFont="1" applyBorder="1"/>
    <xf numFmtId="43" fontId="0" fillId="0" borderId="12" xfId="0" applyNumberFormat="1" applyBorder="1"/>
    <xf numFmtId="0" fontId="0" fillId="0" borderId="13" xfId="0" applyBorder="1"/>
    <xf numFmtId="14" fontId="0" fillId="0" borderId="8" xfId="0" applyNumberFormat="1" applyBorder="1"/>
    <xf numFmtId="14" fontId="0" fillId="0" borderId="10" xfId="0" applyNumberFormat="1" applyBorder="1"/>
    <xf numFmtId="164" fontId="0" fillId="0" borderId="10" xfId="1" applyNumberFormat="1" applyFont="1" applyBorder="1"/>
    <xf numFmtId="10" fontId="0" fillId="0" borderId="10" xfId="0" applyNumberFormat="1" applyBorder="1"/>
    <xf numFmtId="10" fontId="0" fillId="0" borderId="10" xfId="0" applyNumberFormat="1" applyBorder="1" applyAlignment="1">
      <alignment horizontal="center"/>
    </xf>
    <xf numFmtId="0" fontId="0" fillId="0" borderId="11" xfId="0" applyBorder="1"/>
    <xf numFmtId="9" fontId="0" fillId="0" borderId="0" xfId="0" applyNumberFormat="1"/>
    <xf numFmtId="9" fontId="0" fillId="0" borderId="10" xfId="0" applyNumberFormat="1" applyBorder="1"/>
    <xf numFmtId="9" fontId="0" fillId="0" borderId="12" xfId="0" applyNumberFormat="1" applyBorder="1"/>
    <xf numFmtId="9" fontId="0" fillId="0" borderId="13" xfId="0" applyNumberFormat="1" applyBorder="1"/>
    <xf numFmtId="10" fontId="2" fillId="5" borderId="5" xfId="2" applyNumberFormat="1" applyFont="1" applyFill="1" applyBorder="1" applyAlignment="1">
      <alignment horizontal="center" vertical="center"/>
    </xf>
    <xf numFmtId="3" fontId="0" fillId="0" borderId="0" xfId="0" applyNumberFormat="1"/>
    <xf numFmtId="164" fontId="0" fillId="0" borderId="0" xfId="0" applyNumberFormat="1"/>
    <xf numFmtId="0" fontId="0" fillId="3" borderId="0" xfId="0" applyFill="1" applyAlignment="1">
      <alignment vertical="center"/>
    </xf>
    <xf numFmtId="0" fontId="0" fillId="3" borderId="0" xfId="0" applyFill="1"/>
    <xf numFmtId="14" fontId="0" fillId="6" borderId="1" xfId="0" applyNumberFormat="1"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2" borderId="14" xfId="0" applyFill="1" applyBorder="1" applyAlignment="1">
      <alignment vertical="center"/>
    </xf>
    <xf numFmtId="10" fontId="0" fillId="0" borderId="0" xfId="2" applyNumberFormat="1" applyFont="1"/>
    <xf numFmtId="10" fontId="0" fillId="0" borderId="13" xfId="2" applyNumberFormat="1" applyFont="1" applyBorder="1"/>
    <xf numFmtId="1" fontId="0" fillId="6" borderId="2" xfId="0" applyNumberFormat="1" applyFill="1" applyBorder="1" applyAlignment="1" applyProtection="1">
      <alignment horizontal="center" vertical="center"/>
      <protection locked="0"/>
    </xf>
    <xf numFmtId="43" fontId="0" fillId="0" borderId="10" xfId="1" applyFont="1" applyBorder="1"/>
    <xf numFmtId="0" fontId="0" fillId="2" borderId="0" xfId="0" applyFill="1"/>
    <xf numFmtId="0" fontId="3" fillId="7" borderId="0" xfId="0" applyFont="1" applyFill="1" applyAlignment="1">
      <alignment horizontal="left" vertical="center" indent="2"/>
    </xf>
    <xf numFmtId="0" fontId="0" fillId="7" borderId="0" xfId="0" applyFill="1"/>
    <xf numFmtId="0" fontId="0" fillId="0" borderId="16" xfId="0" applyBorder="1" applyAlignment="1">
      <alignment horizontal="left" vertical="center" indent="1"/>
    </xf>
    <xf numFmtId="0" fontId="0" fillId="2" borderId="16" xfId="0" applyFill="1" applyBorder="1" applyAlignment="1">
      <alignment horizontal="left" vertical="center" indent="1"/>
    </xf>
    <xf numFmtId="0" fontId="4" fillId="2" borderId="17" xfId="0" applyFont="1" applyFill="1" applyBorder="1" applyAlignment="1">
      <alignment vertical="center"/>
    </xf>
    <xf numFmtId="0" fontId="4" fillId="2" borderId="0" xfId="0" applyFont="1" applyFill="1" applyAlignment="1">
      <alignment vertical="center"/>
    </xf>
    <xf numFmtId="0" fontId="4" fillId="0" borderId="0" xfId="0" applyFont="1" applyAlignment="1">
      <alignment vertical="center"/>
    </xf>
    <xf numFmtId="0" fontId="4" fillId="0" borderId="0" xfId="0" applyFont="1" applyAlignment="1">
      <alignment vertical="center" wrapText="1"/>
    </xf>
    <xf numFmtId="0" fontId="3" fillId="0" borderId="16" xfId="0" applyFont="1" applyBorder="1" applyAlignment="1">
      <alignment horizontal="left" vertical="center" indent="1"/>
    </xf>
    <xf numFmtId="2" fontId="0" fillId="0" borderId="0" xfId="0" applyNumberFormat="1"/>
    <xf numFmtId="5" fontId="0" fillId="6" borderId="2" xfId="3" applyNumberFormat="1" applyFont="1" applyFill="1" applyBorder="1" applyAlignment="1" applyProtection="1">
      <alignment horizontal="center" vertical="center"/>
      <protection locked="0"/>
    </xf>
    <xf numFmtId="5" fontId="2" fillId="5" borderId="4" xfId="3" applyNumberFormat="1" applyFont="1" applyFill="1" applyBorder="1" applyAlignment="1">
      <alignment horizontal="center" vertical="center"/>
    </xf>
    <xf numFmtId="5" fontId="0" fillId="6" borderId="15" xfId="3" applyNumberFormat="1"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0" fillId="4" borderId="0" xfId="0" applyFill="1" applyAlignment="1">
      <alignment horizontal="center" vertical="center"/>
    </xf>
    <xf numFmtId="0" fontId="8" fillId="3" borderId="0" xfId="0" applyFont="1" applyFill="1" applyAlignment="1">
      <alignment horizontal="center" vertical="center" wrapText="1"/>
    </xf>
    <xf numFmtId="0" fontId="7" fillId="8" borderId="0" xfId="4" applyFont="1" applyFill="1" applyAlignment="1">
      <alignment horizontal="center" vertical="center"/>
    </xf>
    <xf numFmtId="0" fontId="4" fillId="0" borderId="0" xfId="0" applyFont="1" applyAlignment="1">
      <alignment horizontal="center" vertical="center" wrapText="1"/>
    </xf>
    <xf numFmtId="10" fontId="5" fillId="2" borderId="0" xfId="0" applyNumberFormat="1" applyFont="1" applyFill="1" applyAlignment="1">
      <alignment horizontal="center" vertical="center"/>
    </xf>
    <xf numFmtId="10" fontId="5" fillId="2" borderId="0" xfId="2" applyNumberFormat="1" applyFont="1" applyFill="1" applyAlignment="1">
      <alignment horizontal="center" vertical="center"/>
    </xf>
    <xf numFmtId="0" fontId="4" fillId="2" borderId="17" xfId="0"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17" xfId="0" applyFont="1" applyBorder="1" applyAlignment="1">
      <alignment horizontal="center" vertical="center"/>
    </xf>
    <xf numFmtId="0" fontId="6" fillId="0" borderId="0" xfId="0" applyFont="1" applyAlignment="1">
      <alignment horizontal="center" vertical="center"/>
    </xf>
    <xf numFmtId="10" fontId="5" fillId="0" borderId="0" xfId="2" applyNumberFormat="1" applyFont="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2" borderId="17" xfId="0" applyFont="1" applyFill="1" applyBorder="1" applyAlignment="1">
      <alignment horizontal="center" vertical="center"/>
    </xf>
    <xf numFmtId="0" fontId="4" fillId="2" borderId="0" xfId="0" applyFont="1" applyFill="1" applyAlignment="1">
      <alignment horizontal="center" vertical="center"/>
    </xf>
  </cellXfs>
  <cellStyles count="5">
    <cellStyle name="Hiperlink" xfId="4" builtinId="8"/>
    <cellStyle name="Moeda" xfId="3" builtinId="4"/>
    <cellStyle name="Normal" xfId="0" builtinId="0"/>
    <cellStyle name="Porcentagem" xfId="2" builtinId="5"/>
    <cellStyle name="Vírgula" xfId="1" builtinId="3"/>
  </cellStyles>
  <dxfs count="0"/>
  <tableStyles count="0" defaultTableStyle="TableStyleMedium2" defaultPivotStyle="PivotStyleLight16"/>
  <colors>
    <mruColors>
      <color rgb="FF067A19"/>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18010665965692"/>
          <c:y val="0.14998991986818397"/>
          <c:w val="0.82293063139489964"/>
          <c:h val="0.71062313351884487"/>
        </c:manualLayout>
      </c:layout>
      <c:barChart>
        <c:barDir val="col"/>
        <c:grouping val="clustered"/>
        <c:varyColors val="0"/>
        <c:ser>
          <c:idx val="1"/>
          <c:order val="1"/>
          <c:tx>
            <c:strRef>
              <c:f>Apoio!$I$8</c:f>
              <c:strCache>
                <c:ptCount val="1"/>
                <c:pt idx="0">
                  <c:v>Patrimônio</c:v>
                </c:pt>
              </c:strCache>
            </c:strRef>
          </c:tx>
          <c:spPr>
            <a:solidFill>
              <a:schemeClr val="tx2">
                <a:lumMod val="75000"/>
              </a:schemeClr>
            </a:solidFill>
            <a:ln>
              <a:noFill/>
            </a:ln>
            <a:effectLst/>
          </c:spPr>
          <c:invertIfNegative val="0"/>
          <c:dLbls>
            <c:delete val="1"/>
          </c:dLbls>
          <c:cat>
            <c:numRef>
              <c:f>Apoio!$G$9:$G$18</c:f>
              <c:numCache>
                <c:formatCode>0</c:formatCode>
                <c:ptCount val="10"/>
                <c:pt idx="0">
                  <c:v>27.994520547945207</c:v>
                </c:pt>
                <c:pt idx="1">
                  <c:v>31.079452054794519</c:v>
                </c:pt>
                <c:pt idx="2">
                  <c:v>34.249315068493154</c:v>
                </c:pt>
                <c:pt idx="3">
                  <c:v>37.334246575342469</c:v>
                </c:pt>
                <c:pt idx="4">
                  <c:v>40.506849315068493</c:v>
                </c:pt>
                <c:pt idx="5">
                  <c:v>43.586301369863016</c:v>
                </c:pt>
                <c:pt idx="6">
                  <c:v>46.753424657534246</c:v>
                </c:pt>
                <c:pt idx="7">
                  <c:v>49.923287671232877</c:v>
                </c:pt>
                <c:pt idx="8">
                  <c:v>53.064702254645418</c:v>
                </c:pt>
                <c:pt idx="9">
                  <c:v>56.180821917808217</c:v>
                </c:pt>
              </c:numCache>
            </c:numRef>
          </c:cat>
          <c:val>
            <c:numRef>
              <c:f>Apoio!$I$9:$I$18</c:f>
              <c:numCache>
                <c:formatCode>_-* #,##0_-;\-* #,##0_-;_-* "-"??_-;_-@_-</c:formatCode>
                <c:ptCount val="10"/>
                <c:pt idx="0">
                  <c:v>10000</c:v>
                </c:pt>
                <c:pt idx="1">
                  <c:v>218131.77245679672</c:v>
                </c:pt>
                <c:pt idx="2">
                  <c:v>482416.50135414908</c:v>
                </c:pt>
                <c:pt idx="3">
                  <c:v>800197.46258286515</c:v>
                </c:pt>
                <c:pt idx="4">
                  <c:v>1204101.7389099624</c:v>
                </c:pt>
                <c:pt idx="5">
                  <c:v>1688432.9881244097</c:v>
                </c:pt>
                <c:pt idx="6">
                  <c:v>2303827.098120606</c:v>
                </c:pt>
                <c:pt idx="7">
                  <c:v>3067016.965102796</c:v>
                </c:pt>
                <c:pt idx="8">
                  <c:v>4003342.9667993509</c:v>
                </c:pt>
                <c:pt idx="9">
                  <c:v>5151067.9912487436</c:v>
                </c:pt>
              </c:numCache>
            </c:numRef>
          </c:val>
          <c:extLst>
            <c:ext xmlns:c16="http://schemas.microsoft.com/office/drawing/2014/chart" uri="{C3380CC4-5D6E-409C-BE32-E72D297353CC}">
              <c16:uniqueId val="{00000000-4B71-4111-B646-33D57326639B}"/>
            </c:ext>
          </c:extLst>
        </c:ser>
        <c:dLbls>
          <c:showLegendKey val="0"/>
          <c:showVal val="1"/>
          <c:showCatName val="0"/>
          <c:showSerName val="0"/>
          <c:showPercent val="0"/>
          <c:showBubbleSize val="0"/>
        </c:dLbls>
        <c:gapWidth val="75"/>
        <c:axId val="1267536448"/>
        <c:axId val="1267543104"/>
      </c:barChart>
      <c:lineChart>
        <c:grouping val="standard"/>
        <c:varyColors val="0"/>
        <c:ser>
          <c:idx val="0"/>
          <c:order val="0"/>
          <c:tx>
            <c:strRef>
              <c:f>Apoio!$H$8</c:f>
              <c:strCache>
                <c:ptCount val="1"/>
                <c:pt idx="0">
                  <c:v>% Meta</c:v>
                </c:pt>
              </c:strCache>
            </c:strRef>
          </c:tx>
          <c:spPr>
            <a:ln w="28575" cap="rnd">
              <a:solidFill>
                <a:schemeClr val="bg1">
                  <a:lumMod val="75000"/>
                </a:schemeClr>
              </a:solidFill>
              <a:round/>
            </a:ln>
            <a:effectLst/>
          </c:spPr>
          <c:marker>
            <c:symbol val="circle"/>
            <c:size val="5"/>
            <c:spPr>
              <a:solidFill>
                <a:schemeClr val="bg1">
                  <a:lumMod val="85000"/>
                </a:schemeClr>
              </a:solidFill>
              <a:ln w="9525">
                <a:solidFill>
                  <a:schemeClr val="bg1">
                    <a:lumMod val="75000"/>
                  </a:schemeClr>
                </a:solidFill>
              </a:ln>
              <a:effectLst/>
            </c:spPr>
          </c:marker>
          <c:dLbls>
            <c:dLbl>
              <c:idx val="0"/>
              <c:tx>
                <c:rich>
                  <a:bodyPr/>
                  <a:lstStyle/>
                  <a:p>
                    <a:fld id="{C499C0A3-9A60-4849-8844-4CA5034D07B4}" type="CELLRANGE">
                      <a:rPr lang="en-US"/>
                      <a:pPr/>
                      <a:t>[INTERVALODACÉLULA]</a:t>
                    </a:fld>
                    <a:endParaRPr lang="en-US" baseline="0"/>
                  </a:p>
                  <a:p>
                    <a:fld id="{7013F503-BDFC-42E2-B87A-F607214DD209}" type="VALUE">
                      <a:rPr lang="en-US"/>
                      <a:pPr/>
                      <a:t>[VALOR]</a:t>
                    </a:fld>
                    <a:endParaRPr lang="pt-BR"/>
                  </a:p>
                </c:rich>
              </c:tx>
              <c:dLblPos val="t"/>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570C-47C3-B2F1-B0AEA3644207}"/>
                </c:ext>
              </c:extLst>
            </c:dLbl>
            <c:dLbl>
              <c:idx val="1"/>
              <c:tx>
                <c:rich>
                  <a:bodyPr/>
                  <a:lstStyle/>
                  <a:p>
                    <a:fld id="{4E309275-8138-4CA7-BBF2-8A6B4C3AD9A9}" type="CELLRANGE">
                      <a:rPr lang="en-US"/>
                      <a:pPr/>
                      <a:t>[INTERVALODACÉLULA]</a:t>
                    </a:fld>
                    <a:endParaRPr lang="en-US" baseline="0"/>
                  </a:p>
                  <a:p>
                    <a:fld id="{74148973-A27B-4496-BFE5-EA0D700B90D0}" type="VALUE">
                      <a:rPr lang="en-US"/>
                      <a:pPr/>
                      <a:t>[VALOR]</a:t>
                    </a:fld>
                    <a:endParaRPr lang="pt-BR"/>
                  </a:p>
                </c:rich>
              </c:tx>
              <c:dLblPos val="t"/>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570C-47C3-B2F1-B0AEA3644207}"/>
                </c:ext>
              </c:extLst>
            </c:dLbl>
            <c:dLbl>
              <c:idx val="2"/>
              <c:tx>
                <c:rich>
                  <a:bodyPr/>
                  <a:lstStyle/>
                  <a:p>
                    <a:fld id="{C71A2BD2-3932-4D6A-9A66-56BA6A24B939}" type="CELLRANGE">
                      <a:rPr lang="en-US"/>
                      <a:pPr/>
                      <a:t>[INTERVALODACÉLULA]</a:t>
                    </a:fld>
                    <a:endParaRPr lang="en-US" baseline="0"/>
                  </a:p>
                  <a:p>
                    <a:fld id="{4F096FE0-206B-4B5A-A0BC-5866CCE74D11}" type="VALUE">
                      <a:rPr lang="en-US"/>
                      <a:pPr/>
                      <a:t>[VALOR]</a:t>
                    </a:fld>
                    <a:endParaRPr lang="pt-BR"/>
                  </a:p>
                </c:rich>
              </c:tx>
              <c:dLblPos val="t"/>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570C-47C3-B2F1-B0AEA3644207}"/>
                </c:ext>
              </c:extLst>
            </c:dLbl>
            <c:dLbl>
              <c:idx val="3"/>
              <c:tx>
                <c:rich>
                  <a:bodyPr/>
                  <a:lstStyle/>
                  <a:p>
                    <a:fld id="{55C9EBDA-EC94-4DCF-916B-5E4C94F3ECA3}" type="CELLRANGE">
                      <a:rPr lang="en-US"/>
                      <a:pPr/>
                      <a:t>[INTERVALODACÉLULA]</a:t>
                    </a:fld>
                    <a:endParaRPr lang="en-US" baseline="0"/>
                  </a:p>
                  <a:p>
                    <a:fld id="{D2A4EAF0-857D-4103-A1D4-566E3ED31617}" type="VALUE">
                      <a:rPr lang="en-US"/>
                      <a:pPr/>
                      <a:t>[VALOR]</a:t>
                    </a:fld>
                    <a:endParaRPr lang="pt-BR"/>
                  </a:p>
                </c:rich>
              </c:tx>
              <c:dLblPos val="t"/>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570C-47C3-B2F1-B0AEA3644207}"/>
                </c:ext>
              </c:extLst>
            </c:dLbl>
            <c:dLbl>
              <c:idx val="4"/>
              <c:tx>
                <c:rich>
                  <a:bodyPr/>
                  <a:lstStyle/>
                  <a:p>
                    <a:fld id="{74784D54-B504-4FEF-B674-EECF23379AB8}" type="CELLRANGE">
                      <a:rPr lang="en-US"/>
                      <a:pPr/>
                      <a:t>[INTERVALODACÉLULA]</a:t>
                    </a:fld>
                    <a:endParaRPr lang="en-US" baseline="0"/>
                  </a:p>
                  <a:p>
                    <a:fld id="{091CDEC0-A750-4644-8110-C831EA0A6760}" type="VALUE">
                      <a:rPr lang="en-US"/>
                      <a:pPr/>
                      <a:t>[VALOR]</a:t>
                    </a:fld>
                    <a:endParaRPr lang="pt-BR"/>
                  </a:p>
                </c:rich>
              </c:tx>
              <c:dLblPos val="t"/>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570C-47C3-B2F1-B0AEA3644207}"/>
                </c:ext>
              </c:extLst>
            </c:dLbl>
            <c:dLbl>
              <c:idx val="5"/>
              <c:tx>
                <c:rich>
                  <a:bodyPr/>
                  <a:lstStyle/>
                  <a:p>
                    <a:fld id="{B4A97340-8631-4E85-AB36-A3535657643D}" type="CELLRANGE">
                      <a:rPr lang="en-US"/>
                      <a:pPr/>
                      <a:t>[INTERVALODACÉLULA]</a:t>
                    </a:fld>
                    <a:endParaRPr lang="en-US" baseline="0"/>
                  </a:p>
                  <a:p>
                    <a:fld id="{26147F69-32FC-4C45-8B8E-ADC812DCCE60}" type="VALUE">
                      <a:rPr lang="en-US"/>
                      <a:pPr/>
                      <a:t>[VALOR]</a:t>
                    </a:fld>
                    <a:endParaRPr lang="pt-BR"/>
                  </a:p>
                </c:rich>
              </c:tx>
              <c:dLblPos val="t"/>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570C-47C3-B2F1-B0AEA3644207}"/>
                </c:ext>
              </c:extLst>
            </c:dLbl>
            <c:dLbl>
              <c:idx val="6"/>
              <c:tx>
                <c:rich>
                  <a:bodyPr/>
                  <a:lstStyle/>
                  <a:p>
                    <a:fld id="{B960E0AD-9B36-4C41-9E4B-CA09DCE761EB}" type="CELLRANGE">
                      <a:rPr lang="en-US"/>
                      <a:pPr/>
                      <a:t>[INTERVALODACÉLULA]</a:t>
                    </a:fld>
                    <a:endParaRPr lang="en-US" baseline="0"/>
                  </a:p>
                  <a:p>
                    <a:fld id="{1902F483-CFC7-450E-A4B3-3CF320B15A6C}" type="VALUE">
                      <a:rPr lang="en-US"/>
                      <a:pPr/>
                      <a:t>[VALOR]</a:t>
                    </a:fld>
                    <a:endParaRPr lang="pt-BR"/>
                  </a:p>
                </c:rich>
              </c:tx>
              <c:dLblPos val="t"/>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570C-47C3-B2F1-B0AEA3644207}"/>
                </c:ext>
              </c:extLst>
            </c:dLbl>
            <c:dLbl>
              <c:idx val="7"/>
              <c:tx>
                <c:rich>
                  <a:bodyPr/>
                  <a:lstStyle/>
                  <a:p>
                    <a:fld id="{E8536167-5730-42A6-8B6C-B78BC3F134C9}" type="CELLRANGE">
                      <a:rPr lang="en-US"/>
                      <a:pPr/>
                      <a:t>[INTERVALODACÉLULA]</a:t>
                    </a:fld>
                    <a:endParaRPr lang="en-US" baseline="0"/>
                  </a:p>
                  <a:p>
                    <a:fld id="{E7A68699-9B51-4012-B0EB-323193C8DFA0}" type="VALUE">
                      <a:rPr lang="en-US"/>
                      <a:pPr/>
                      <a:t>[VALOR]</a:t>
                    </a:fld>
                    <a:endParaRPr lang="pt-BR"/>
                  </a:p>
                </c:rich>
              </c:tx>
              <c:dLblPos val="t"/>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570C-47C3-B2F1-B0AEA3644207}"/>
                </c:ext>
              </c:extLst>
            </c:dLbl>
            <c:dLbl>
              <c:idx val="8"/>
              <c:tx>
                <c:rich>
                  <a:bodyPr/>
                  <a:lstStyle/>
                  <a:p>
                    <a:fld id="{5F4779FE-732F-4095-B5A9-D110C5EF472E}" type="CELLRANGE">
                      <a:rPr lang="en-US"/>
                      <a:pPr/>
                      <a:t>[INTERVALODACÉLULA]</a:t>
                    </a:fld>
                    <a:endParaRPr lang="en-US" baseline="0"/>
                  </a:p>
                  <a:p>
                    <a:fld id="{A3BF1A83-EDCA-4B4C-A261-DBEC6F5B39CB}" type="VALUE">
                      <a:rPr lang="en-US"/>
                      <a:pPr/>
                      <a:t>[VALOR]</a:t>
                    </a:fld>
                    <a:endParaRPr lang="pt-BR"/>
                  </a:p>
                </c:rich>
              </c:tx>
              <c:dLblPos val="t"/>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570C-47C3-B2F1-B0AEA3644207}"/>
                </c:ext>
              </c:extLst>
            </c:dLbl>
            <c:dLbl>
              <c:idx val="9"/>
              <c:tx>
                <c:rich>
                  <a:bodyPr/>
                  <a:lstStyle/>
                  <a:p>
                    <a:fld id="{B4A90563-1006-40B0-BBDF-BA5D58D28CB9}" type="CELLRANGE">
                      <a:rPr lang="en-US"/>
                      <a:pPr/>
                      <a:t>[INTERVALODACÉLULA]</a:t>
                    </a:fld>
                    <a:endParaRPr lang="en-US" baseline="0"/>
                  </a:p>
                  <a:p>
                    <a:fld id="{745497FD-7FA6-49D1-823A-4F8EA33205BD}" type="VALUE">
                      <a:rPr lang="en-US"/>
                      <a:pPr/>
                      <a:t>[VALOR]</a:t>
                    </a:fld>
                    <a:endParaRPr lang="pt-BR"/>
                  </a:p>
                </c:rich>
              </c:tx>
              <c:dLblPos val="t"/>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570C-47C3-B2F1-B0AEA3644207}"/>
                </c:ext>
              </c:extLst>
            </c:dLbl>
            <c:spPr>
              <a:solidFill>
                <a:schemeClr val="lt1"/>
              </a:solidFill>
              <a:ln>
                <a:solidFill>
                  <a:schemeClr val="bg1">
                    <a:lumMod val="95000"/>
                  </a:schemeClr>
                </a:solidFill>
              </a:ln>
              <a:effectLst/>
            </c:spPr>
            <c:txPr>
              <a:bodyPr rot="0" spcFirstLastPara="1" vertOverflow="overflow" horzOverflow="overflow" vert="horz" wrap="none" lIns="36576" tIns="18288" rIns="36576" bIns="18288" anchor="ctr" anchorCtr="1">
                <a:spAutoFit/>
              </a:bodyPr>
              <a:lstStyle/>
              <a:p>
                <a:pPr>
                  <a:defRPr sz="900" b="0" i="0" u="none" strike="noStrike" kern="1200" baseline="0">
                    <a:solidFill>
                      <a:schemeClr val="dk1">
                        <a:lumMod val="65000"/>
                        <a:lumOff val="35000"/>
                      </a:schemeClr>
                    </a:solidFill>
                    <a:latin typeface="Montserrat" panose="00000500000000000000" pitchFamily="2" charset="0"/>
                    <a:ea typeface="+mn-ea"/>
                    <a:cs typeface="+mn-cs"/>
                  </a:defRPr>
                </a:pPr>
                <a:endParaRPr lang="pt-BR"/>
              </a:p>
            </c:txPr>
            <c:dLblPos val="t"/>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oundRect">
                    <a:avLst/>
                  </a:prstGeom>
                  <a:noFill/>
                  <a:ln>
                    <a:noFill/>
                  </a:ln>
                </c15:spPr>
                <c15:showDataLabelsRange val="1"/>
                <c15:showLeaderLines val="1"/>
                <c15:leaderLines>
                  <c:spPr>
                    <a:ln w="9525" cap="flat" cmpd="sng" algn="ctr">
                      <a:solidFill>
                        <a:schemeClr val="tx1">
                          <a:lumMod val="35000"/>
                          <a:lumOff val="65000"/>
                        </a:schemeClr>
                      </a:solidFill>
                      <a:round/>
                    </a:ln>
                    <a:effectLst/>
                  </c:spPr>
                </c15:leaderLines>
              </c:ext>
            </c:extLst>
          </c:dLbls>
          <c:cat>
            <c:numRef>
              <c:f>Apoio!$G$9:$G$18</c:f>
              <c:numCache>
                <c:formatCode>0</c:formatCode>
                <c:ptCount val="10"/>
                <c:pt idx="0">
                  <c:v>27.994520547945207</c:v>
                </c:pt>
                <c:pt idx="1">
                  <c:v>31.079452054794519</c:v>
                </c:pt>
                <c:pt idx="2">
                  <c:v>34.249315068493154</c:v>
                </c:pt>
                <c:pt idx="3">
                  <c:v>37.334246575342469</c:v>
                </c:pt>
                <c:pt idx="4">
                  <c:v>40.506849315068493</c:v>
                </c:pt>
                <c:pt idx="5">
                  <c:v>43.586301369863016</c:v>
                </c:pt>
                <c:pt idx="6">
                  <c:v>46.753424657534246</c:v>
                </c:pt>
                <c:pt idx="7">
                  <c:v>49.923287671232877</c:v>
                </c:pt>
                <c:pt idx="8">
                  <c:v>53.064702254645418</c:v>
                </c:pt>
                <c:pt idx="9">
                  <c:v>56.180821917808217</c:v>
                </c:pt>
              </c:numCache>
            </c:numRef>
          </c:cat>
          <c:val>
            <c:numRef>
              <c:f>Apoio!$H$9:$H$18</c:f>
              <c:numCache>
                <c:formatCode>0%</c:formatCode>
                <c:ptCount val="10"/>
                <c:pt idx="0">
                  <c:v>2.4337752826715242E-3</c:v>
                </c:pt>
                <c:pt idx="1">
                  <c:v>5.3088371617068107E-2</c:v>
                </c:pt>
                <c:pt idx="2">
                  <c:v>0.11740933569486019</c:v>
                </c:pt>
                <c:pt idx="3">
                  <c:v>0.1947500805690649</c:v>
                </c:pt>
                <c:pt idx="4">
                  <c:v>0.29305130499808674</c:v>
                </c:pt>
                <c:pt idx="5">
                  <c:v>0.41092664729444112</c:v>
                </c:pt>
                <c:pt idx="6">
                  <c:v>0.56069974469547956</c:v>
                </c:pt>
                <c:pt idx="7">
                  <c:v>0.74644300812014175</c:v>
                </c:pt>
                <c:pt idx="8">
                  <c:v>0.97432371606531487</c:v>
                </c:pt>
                <c:pt idx="9">
                  <c:v>1.2536541956461651</c:v>
                </c:pt>
              </c:numCache>
            </c:numRef>
          </c:val>
          <c:smooth val="0"/>
          <c:extLst>
            <c:ext xmlns:c15="http://schemas.microsoft.com/office/drawing/2012/chart" uri="{02D57815-91ED-43cb-92C2-25804820EDAC}">
              <c15:datalabelsRange>
                <c15:f>Apoio!$L$9:$L$18</c15:f>
                <c15:dlblRangeCache>
                  <c:ptCount val="10"/>
                  <c:pt idx="0">
                    <c:v> 0,01 Mi </c:v>
                  </c:pt>
                  <c:pt idx="1">
                    <c:v> 0,22 Mi </c:v>
                  </c:pt>
                  <c:pt idx="2">
                    <c:v> 0,48 Mi </c:v>
                  </c:pt>
                  <c:pt idx="3">
                    <c:v> 0,8 Mi </c:v>
                  </c:pt>
                  <c:pt idx="4">
                    <c:v> 1,2 Mi </c:v>
                  </c:pt>
                  <c:pt idx="5">
                    <c:v> 1,69 Mi </c:v>
                  </c:pt>
                  <c:pt idx="6">
                    <c:v> 2,3 Mi </c:v>
                  </c:pt>
                  <c:pt idx="7">
                    <c:v> 3,07 Mi </c:v>
                  </c:pt>
                  <c:pt idx="8">
                    <c:v> 4 Mi </c:v>
                  </c:pt>
                  <c:pt idx="9">
                    <c:v> 5,15 Mi </c:v>
                  </c:pt>
                </c15:dlblRangeCache>
              </c15:datalabelsRange>
            </c:ext>
            <c:ext xmlns:c16="http://schemas.microsoft.com/office/drawing/2014/chart" uri="{C3380CC4-5D6E-409C-BE32-E72D297353CC}">
              <c16:uniqueId val="{00000001-4B71-4111-B646-33D57326639B}"/>
            </c:ext>
          </c:extLst>
        </c:ser>
        <c:ser>
          <c:idx val="2"/>
          <c:order val="2"/>
          <c:tx>
            <c:strRef>
              <c:f>Apoio!$K$8</c:f>
              <c:strCache>
                <c:ptCount val="1"/>
                <c:pt idx="0">
                  <c:v>Meta</c:v>
                </c:pt>
              </c:strCache>
            </c:strRef>
          </c:tx>
          <c:spPr>
            <a:ln w="28575" cap="rnd">
              <a:solidFill>
                <a:srgbClr val="00B0F0"/>
              </a:solidFill>
              <a:round/>
            </a:ln>
            <a:effectLst/>
          </c:spPr>
          <c:marker>
            <c:symbol val="none"/>
          </c:marker>
          <c:dLbls>
            <c:delete val="1"/>
          </c:dLbls>
          <c:cat>
            <c:numRef>
              <c:f>Apoio!$G$9:$G$18</c:f>
              <c:numCache>
                <c:formatCode>0</c:formatCode>
                <c:ptCount val="10"/>
                <c:pt idx="0">
                  <c:v>27.994520547945207</c:v>
                </c:pt>
                <c:pt idx="1">
                  <c:v>31.079452054794519</c:v>
                </c:pt>
                <c:pt idx="2">
                  <c:v>34.249315068493154</c:v>
                </c:pt>
                <c:pt idx="3">
                  <c:v>37.334246575342469</c:v>
                </c:pt>
                <c:pt idx="4">
                  <c:v>40.506849315068493</c:v>
                </c:pt>
                <c:pt idx="5">
                  <c:v>43.586301369863016</c:v>
                </c:pt>
                <c:pt idx="6">
                  <c:v>46.753424657534246</c:v>
                </c:pt>
                <c:pt idx="7">
                  <c:v>49.923287671232877</c:v>
                </c:pt>
                <c:pt idx="8">
                  <c:v>53.064702254645418</c:v>
                </c:pt>
                <c:pt idx="9">
                  <c:v>56.180821917808217</c:v>
                </c:pt>
              </c:numCache>
            </c:numRef>
          </c:cat>
          <c:val>
            <c:numRef>
              <c:f>Apoio!$K$9:$K$18</c:f>
              <c:numCache>
                <c:formatCode>General</c:formatCode>
                <c:ptCount val="10"/>
                <c:pt idx="0">
                  <c:v>1</c:v>
                </c:pt>
                <c:pt idx="1">
                  <c:v>1</c:v>
                </c:pt>
                <c:pt idx="2">
                  <c:v>1</c:v>
                </c:pt>
                <c:pt idx="3">
                  <c:v>1</c:v>
                </c:pt>
                <c:pt idx="4">
                  <c:v>1</c:v>
                </c:pt>
                <c:pt idx="5">
                  <c:v>1</c:v>
                </c:pt>
                <c:pt idx="6">
                  <c:v>1</c:v>
                </c:pt>
                <c:pt idx="7">
                  <c:v>1</c:v>
                </c:pt>
                <c:pt idx="8">
                  <c:v>1</c:v>
                </c:pt>
                <c:pt idx="9">
                  <c:v>1</c:v>
                </c:pt>
              </c:numCache>
            </c:numRef>
          </c:val>
          <c:smooth val="0"/>
          <c:extLst>
            <c:ext xmlns:c16="http://schemas.microsoft.com/office/drawing/2014/chart" uri="{C3380CC4-5D6E-409C-BE32-E72D297353CC}">
              <c16:uniqueId val="{00000002-4B71-4111-B646-33D57326639B}"/>
            </c:ext>
          </c:extLst>
        </c:ser>
        <c:dLbls>
          <c:showLegendKey val="0"/>
          <c:showVal val="1"/>
          <c:showCatName val="0"/>
          <c:showSerName val="0"/>
          <c:showPercent val="0"/>
          <c:showBubbleSize val="0"/>
        </c:dLbls>
        <c:marker val="1"/>
        <c:smooth val="0"/>
        <c:axId val="1267539360"/>
        <c:axId val="1267537280"/>
      </c:lineChart>
      <c:catAx>
        <c:axId val="126753644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Montserrat" panose="00000500000000000000" pitchFamily="2" charset="0"/>
                    <a:ea typeface="+mn-ea"/>
                    <a:cs typeface="+mn-cs"/>
                  </a:defRPr>
                </a:pPr>
                <a:r>
                  <a:rPr lang="pt-BR" sz="800"/>
                  <a:t>Idade</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ontserrat" panose="00000500000000000000" pitchFamily="2" charset="0"/>
                  <a:ea typeface="+mn-ea"/>
                  <a:cs typeface="+mn-cs"/>
                </a:defRPr>
              </a:pPr>
              <a:endParaRPr lang="pt-BR"/>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pt-BR"/>
          </a:p>
        </c:txPr>
        <c:crossAx val="1267543104"/>
        <c:crosses val="autoZero"/>
        <c:auto val="1"/>
        <c:lblAlgn val="ctr"/>
        <c:lblOffset val="100"/>
        <c:noMultiLvlLbl val="0"/>
      </c:catAx>
      <c:valAx>
        <c:axId val="1267543104"/>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95000"/>
                  </a:schemeClr>
                </a:solidFill>
                <a:latin typeface="Montserrat" panose="00000500000000000000" pitchFamily="2" charset="0"/>
                <a:ea typeface="+mn-ea"/>
                <a:cs typeface="+mn-cs"/>
              </a:defRPr>
            </a:pPr>
            <a:endParaRPr lang="pt-BR"/>
          </a:p>
        </c:txPr>
        <c:crossAx val="1267536448"/>
        <c:crosses val="autoZero"/>
        <c:crossBetween val="between"/>
        <c:dispUnits>
          <c:builtInUnit val="millions"/>
          <c:dispUnitsLbl>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pt-BR"/>
                    <a:t> valores em R$ Milhões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pt-BR"/>
              </a:p>
            </c:txPr>
          </c:dispUnitsLbl>
        </c:dispUnits>
      </c:valAx>
      <c:valAx>
        <c:axId val="126753728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95000"/>
                  </a:schemeClr>
                </a:solidFill>
                <a:latin typeface="Montserrat" panose="00000500000000000000" pitchFamily="2" charset="0"/>
                <a:ea typeface="+mn-ea"/>
                <a:cs typeface="+mn-cs"/>
              </a:defRPr>
            </a:pPr>
            <a:endParaRPr lang="pt-BR"/>
          </a:p>
        </c:txPr>
        <c:crossAx val="1267539360"/>
        <c:crosses val="max"/>
        <c:crossBetween val="between"/>
      </c:valAx>
      <c:catAx>
        <c:axId val="1267539360"/>
        <c:scaling>
          <c:orientation val="minMax"/>
        </c:scaling>
        <c:delete val="1"/>
        <c:axPos val="b"/>
        <c:numFmt formatCode="0" sourceLinked="1"/>
        <c:majorTickMark val="out"/>
        <c:minorTickMark val="none"/>
        <c:tickLblPos val="nextTo"/>
        <c:crossAx val="1267537280"/>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alpha val="49804"/>
      </a:srgbClr>
    </a:solidFill>
    <a:ln w="9525" cap="flat" cmpd="sng" algn="ctr">
      <a:noFill/>
      <a:round/>
    </a:ln>
    <a:effectLst/>
  </c:spPr>
  <c:txPr>
    <a:bodyPr/>
    <a:lstStyle/>
    <a:p>
      <a:pPr>
        <a:defRPr>
          <a:latin typeface="Montserrat" panose="00000500000000000000" pitchFamily="2" charset="0"/>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xml"/><Relationship Id="rId1" Type="http://schemas.openxmlformats.org/officeDocument/2006/relationships/hyperlink" Target="#Gr&#225;fico!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742949</xdr:colOff>
      <xdr:row>5</xdr:row>
      <xdr:rowOff>161924</xdr:rowOff>
    </xdr:from>
    <xdr:to>
      <xdr:col>12</xdr:col>
      <xdr:colOff>47624</xdr:colOff>
      <xdr:row>19</xdr:row>
      <xdr:rowOff>209550</xdr:rowOff>
    </xdr:to>
    <xdr:graphicFrame macro="">
      <xdr:nvGraphicFramePr>
        <xdr:cNvPr id="3" name="Gráfico 2">
          <a:hlinkClick xmlns:r="http://schemas.openxmlformats.org/officeDocument/2006/relationships" r:id="rId1"/>
          <a:extLst>
            <a:ext uri="{FF2B5EF4-FFF2-40B4-BE49-F238E27FC236}">
              <a16:creationId xmlns:a16="http://schemas.microsoft.com/office/drawing/2014/main" id="{1A7602BC-DBAB-4D11-9526-B040172D45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28575</xdr:colOff>
      <xdr:row>0</xdr:row>
      <xdr:rowOff>47625</xdr:rowOff>
    </xdr:from>
    <xdr:to>
      <xdr:col>1</xdr:col>
      <xdr:colOff>857250</xdr:colOff>
      <xdr:row>1</xdr:row>
      <xdr:rowOff>122464</xdr:rowOff>
    </xdr:to>
    <xdr:pic>
      <xdr:nvPicPr>
        <xdr:cNvPr id="4" name="Imagem 3">
          <a:extLst>
            <a:ext uri="{FF2B5EF4-FFF2-40B4-BE49-F238E27FC236}">
              <a16:creationId xmlns:a16="http://schemas.microsoft.com/office/drawing/2014/main" id="{1D542DCC-EE71-031E-50D8-BA365F83DD9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5775" y="47625"/>
          <a:ext cx="828675" cy="236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38100</xdr:rowOff>
    </xdr:from>
    <xdr:to>
      <xdr:col>0</xdr:col>
      <xdr:colOff>923925</xdr:colOff>
      <xdr:row>1</xdr:row>
      <xdr:rowOff>112939</xdr:rowOff>
    </xdr:to>
    <xdr:pic>
      <xdr:nvPicPr>
        <xdr:cNvPr id="3" name="Imagem 2">
          <a:extLst>
            <a:ext uri="{FF2B5EF4-FFF2-40B4-BE49-F238E27FC236}">
              <a16:creationId xmlns:a16="http://schemas.microsoft.com/office/drawing/2014/main" id="{99D65D7E-F0B4-4EE6-938B-54C3066227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38100"/>
          <a:ext cx="828675" cy="2367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57150</xdr:rowOff>
    </xdr:from>
    <xdr:to>
      <xdr:col>0</xdr:col>
      <xdr:colOff>923925</xdr:colOff>
      <xdr:row>1</xdr:row>
      <xdr:rowOff>131989</xdr:rowOff>
    </xdr:to>
    <xdr:pic>
      <xdr:nvPicPr>
        <xdr:cNvPr id="2" name="Imagem 1">
          <a:extLst>
            <a:ext uri="{FF2B5EF4-FFF2-40B4-BE49-F238E27FC236}">
              <a16:creationId xmlns:a16="http://schemas.microsoft.com/office/drawing/2014/main" id="{58D7D4E4-30FE-41EF-B9AF-AD56DEDCBC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57150"/>
          <a:ext cx="828675" cy="236764"/>
        </a:xfrm>
        <a:prstGeom prst="rect">
          <a:avLst/>
        </a:prstGeom>
      </xdr:spPr>
    </xdr:pic>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lp.suno.com.br/ao/consultoria-de-investimentos/?&amp;utm_source=leadmagnet&amp;utm_medium=planilha&amp;utm_campaign=simuladorderendapassiva"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4DD8B-70FD-41B8-89A3-36B71B0F2FB4}">
  <dimension ref="A1:Z31"/>
  <sheetViews>
    <sheetView showGridLines="0" showRowColHeaders="0" tabSelected="1" workbookViewId="0">
      <selection activeCell="C8" sqref="C8"/>
    </sheetView>
  </sheetViews>
  <sheetFormatPr defaultColWidth="0" defaultRowHeight="16.5" customHeight="1" zeroHeight="1" x14ac:dyDescent="0.3"/>
  <cols>
    <col min="1" max="1" width="5.33203125" style="4" customWidth="1"/>
    <col min="2" max="2" width="19.6640625" style="4" bestFit="1" customWidth="1"/>
    <col min="3" max="3" width="14.21875" style="4" customWidth="1"/>
    <col min="4" max="4" width="8.88671875" style="4" customWidth="1"/>
    <col min="5" max="10" width="9.109375" style="4" customWidth="1"/>
    <col min="11" max="26" width="8.88671875" style="4" customWidth="1"/>
    <col min="27" max="16384" width="0" style="4" hidden="1"/>
  </cols>
  <sheetData>
    <row r="1" spans="1:26" s="11" customFormat="1" ht="12.75" customHeight="1" x14ac:dyDescent="0.3">
      <c r="A1" s="44"/>
      <c r="B1" s="45"/>
      <c r="C1" s="44"/>
      <c r="D1" s="44"/>
      <c r="E1" s="44"/>
      <c r="F1" s="44"/>
      <c r="G1" s="44"/>
      <c r="H1" s="44"/>
      <c r="I1" s="44"/>
      <c r="J1" s="44"/>
      <c r="K1" s="44"/>
      <c r="L1" s="44"/>
      <c r="M1" s="44"/>
      <c r="N1" s="44"/>
      <c r="O1" s="44"/>
      <c r="P1" s="44"/>
      <c r="Q1" s="44"/>
      <c r="R1" s="44"/>
      <c r="S1" s="44"/>
      <c r="T1" s="44"/>
      <c r="U1" s="44"/>
      <c r="V1" s="44"/>
      <c r="W1" s="44"/>
      <c r="X1" s="44"/>
      <c r="Y1" s="44"/>
      <c r="Z1" s="44"/>
    </row>
    <row r="2" spans="1:26" s="11" customFormat="1" ht="12.75" customHeight="1" x14ac:dyDescent="0.3">
      <c r="A2" s="44"/>
      <c r="B2" s="44"/>
      <c r="C2" s="44"/>
      <c r="D2" s="44"/>
      <c r="E2" s="44"/>
      <c r="F2" s="44"/>
      <c r="G2" s="44"/>
      <c r="H2" s="44"/>
      <c r="I2" s="44"/>
      <c r="J2" s="44"/>
      <c r="K2" s="44"/>
      <c r="L2" s="44"/>
      <c r="M2" s="44"/>
      <c r="N2" s="44"/>
      <c r="O2" s="44"/>
      <c r="P2" s="44"/>
      <c r="Q2" s="44"/>
      <c r="R2" s="44"/>
      <c r="S2" s="44"/>
      <c r="T2" s="44"/>
      <c r="U2" s="44"/>
      <c r="V2" s="44"/>
      <c r="W2" s="44"/>
      <c r="X2" s="44"/>
      <c r="Y2" s="44"/>
      <c r="Z2" s="44"/>
    </row>
    <row r="3" spans="1:26" s="5" customFormat="1" ht="1.5" customHeight="1" x14ac:dyDescent="0.3">
      <c r="A3" s="68"/>
      <c r="B3" s="68"/>
      <c r="C3" s="68"/>
      <c r="D3" s="68"/>
      <c r="E3" s="68"/>
      <c r="F3" s="68"/>
      <c r="G3" s="68"/>
      <c r="H3" s="68"/>
      <c r="I3" s="68"/>
      <c r="J3" s="68"/>
      <c r="K3" s="68"/>
      <c r="L3" s="68"/>
      <c r="M3" s="68"/>
      <c r="N3" s="68"/>
      <c r="O3" s="68"/>
      <c r="P3" s="68"/>
      <c r="Q3" s="68"/>
      <c r="R3" s="68"/>
      <c r="S3" s="68"/>
      <c r="T3" s="68"/>
      <c r="U3" s="68"/>
      <c r="V3" s="68"/>
      <c r="W3" s="68"/>
      <c r="X3" s="68"/>
      <c r="Y3" s="68"/>
      <c r="Z3" s="68"/>
    </row>
    <row r="4" spans="1:26" ht="7.5" customHeight="1" x14ac:dyDescent="0.3">
      <c r="A4" s="5"/>
      <c r="B4" s="5"/>
      <c r="C4" s="5"/>
      <c r="D4" s="5"/>
      <c r="E4" s="5"/>
      <c r="F4" s="5"/>
      <c r="G4" s="5"/>
      <c r="H4" s="5"/>
      <c r="I4" s="5"/>
      <c r="J4" s="5"/>
      <c r="K4" s="5"/>
      <c r="L4" s="5"/>
      <c r="M4" s="5"/>
      <c r="N4" s="5"/>
      <c r="O4" s="5"/>
      <c r="P4" s="5"/>
      <c r="Q4" s="5"/>
      <c r="R4" s="5"/>
      <c r="S4" s="5"/>
      <c r="T4" s="5"/>
      <c r="U4" s="5"/>
      <c r="V4" s="5"/>
      <c r="W4" s="5"/>
      <c r="X4" s="5"/>
      <c r="Y4" s="5"/>
      <c r="Z4" s="5"/>
    </row>
    <row r="5" spans="1:26" s="5" customFormat="1" ht="18" customHeight="1" x14ac:dyDescent="0.3">
      <c r="B5" s="67" t="s">
        <v>1</v>
      </c>
      <c r="C5" s="67"/>
      <c r="E5" s="5" t="s">
        <v>7</v>
      </c>
      <c r="F5" s="7">
        <f ca="1">ROUNDDOWN(((TODAY()-C6)/365.25),0)</f>
        <v>27</v>
      </c>
      <c r="J5" s="5" t="s">
        <v>35</v>
      </c>
      <c r="L5" s="8">
        <f>_xlfn.XLOOKUP(C7,Apoio!$A$2:$A$6,Apoio!$B$2:$B$6)</f>
        <v>7.0000000000000007E-2</v>
      </c>
    </row>
    <row r="6" spans="1:26" s="5" customFormat="1" ht="18" customHeight="1" x14ac:dyDescent="0.3">
      <c r="B6" s="5" t="s">
        <v>0</v>
      </c>
      <c r="C6" s="46">
        <v>35309</v>
      </c>
    </row>
    <row r="7" spans="1:26" ht="18" customHeight="1" x14ac:dyDescent="0.3">
      <c r="A7" s="5"/>
      <c r="B7" s="5" t="s">
        <v>2</v>
      </c>
      <c r="C7" s="47" t="s">
        <v>20</v>
      </c>
      <c r="D7" s="5"/>
      <c r="E7" s="5"/>
      <c r="F7" s="5"/>
      <c r="G7" s="5"/>
      <c r="H7" s="5"/>
      <c r="I7" s="5"/>
      <c r="J7" s="5"/>
      <c r="K7" s="5"/>
      <c r="L7" s="5"/>
      <c r="M7" s="5"/>
      <c r="N7" s="5"/>
      <c r="O7" s="5"/>
      <c r="P7" s="5"/>
      <c r="Q7" s="5"/>
      <c r="R7" s="5"/>
      <c r="S7" s="5"/>
      <c r="T7" s="5"/>
      <c r="U7" s="5"/>
      <c r="V7" s="5"/>
      <c r="W7" s="5"/>
      <c r="X7" s="5"/>
      <c r="Y7" s="5"/>
      <c r="Z7" s="5"/>
    </row>
    <row r="8" spans="1:26" ht="18" customHeight="1" x14ac:dyDescent="0.3">
      <c r="A8" s="5"/>
      <c r="B8" s="5" t="s">
        <v>3</v>
      </c>
      <c r="C8" s="64">
        <v>10000</v>
      </c>
      <c r="D8" s="5"/>
      <c r="E8" s="5"/>
      <c r="F8" s="5"/>
      <c r="G8" s="5"/>
      <c r="H8" s="5"/>
      <c r="I8" s="5"/>
      <c r="J8" s="5"/>
      <c r="K8" s="5"/>
      <c r="L8" s="5"/>
      <c r="M8" s="5"/>
      <c r="N8" s="5"/>
      <c r="O8" s="5"/>
      <c r="P8" s="5"/>
      <c r="Q8" s="5"/>
      <c r="R8" s="5"/>
      <c r="S8" s="5"/>
      <c r="T8" s="5"/>
      <c r="U8" s="5"/>
      <c r="V8" s="5"/>
      <c r="W8" s="5"/>
      <c r="X8" s="5"/>
      <c r="Y8" s="5"/>
      <c r="Z8" s="5"/>
    </row>
    <row r="9" spans="1:26" ht="18" customHeight="1" x14ac:dyDescent="0.3">
      <c r="A9" s="5"/>
      <c r="B9" s="5" t="s">
        <v>4</v>
      </c>
      <c r="C9" s="64">
        <v>5000</v>
      </c>
      <c r="D9" s="5"/>
      <c r="E9" s="5"/>
      <c r="F9" s="5"/>
      <c r="G9" s="5"/>
      <c r="H9" s="5"/>
      <c r="I9" s="5"/>
      <c r="J9" s="5"/>
      <c r="K9" s="5"/>
      <c r="L9" s="5"/>
      <c r="M9" s="5"/>
      <c r="N9" s="5"/>
      <c r="O9" s="5"/>
      <c r="P9" s="5"/>
      <c r="Q9" s="5"/>
      <c r="R9" s="5"/>
      <c r="S9" s="5"/>
      <c r="T9" s="5"/>
      <c r="U9" s="5"/>
      <c r="V9" s="5"/>
      <c r="W9" s="5"/>
      <c r="X9" s="5"/>
      <c r="Y9" s="5"/>
      <c r="Z9" s="5"/>
    </row>
    <row r="10" spans="1:26" ht="18" customHeight="1" x14ac:dyDescent="0.3">
      <c r="A10" s="5"/>
      <c r="B10" s="5" t="s">
        <v>5</v>
      </c>
      <c r="C10" s="51">
        <v>50</v>
      </c>
      <c r="D10" s="5"/>
      <c r="E10" s="5"/>
      <c r="F10" s="5"/>
      <c r="G10" s="5"/>
      <c r="H10" s="5"/>
      <c r="I10" s="5"/>
      <c r="J10" s="5"/>
      <c r="K10" s="5"/>
      <c r="L10" s="5"/>
      <c r="M10" s="5"/>
      <c r="N10" s="5"/>
      <c r="O10" s="5"/>
      <c r="P10" s="5"/>
      <c r="Q10" s="5"/>
      <c r="R10" s="5"/>
      <c r="S10" s="5"/>
      <c r="T10" s="5"/>
      <c r="U10" s="5"/>
      <c r="V10" s="5"/>
      <c r="W10" s="5"/>
      <c r="X10" s="5"/>
      <c r="Y10" s="5"/>
      <c r="Z10" s="5"/>
    </row>
    <row r="11" spans="1:26" ht="18" customHeight="1" x14ac:dyDescent="0.3">
      <c r="A11" s="5"/>
      <c r="B11" s="48" t="s">
        <v>6</v>
      </c>
      <c r="C11" s="66">
        <v>20000</v>
      </c>
      <c r="D11" s="5"/>
      <c r="E11" s="5"/>
      <c r="F11" s="5"/>
      <c r="G11" s="5"/>
      <c r="H11" s="5"/>
      <c r="I11" s="5"/>
      <c r="J11" s="5"/>
      <c r="K11" s="5"/>
      <c r="L11" s="5"/>
      <c r="M11" s="5"/>
      <c r="N11" s="5"/>
      <c r="O11" s="5"/>
      <c r="P11" s="5"/>
      <c r="Q11" s="5"/>
      <c r="R11" s="5"/>
      <c r="S11" s="5"/>
      <c r="T11" s="5"/>
      <c r="U11" s="5"/>
      <c r="V11" s="5"/>
      <c r="W11" s="5"/>
      <c r="X11" s="5"/>
      <c r="Y11" s="5"/>
      <c r="Z11" s="5"/>
    </row>
    <row r="12" spans="1:26" ht="12" customHeight="1" x14ac:dyDescent="0.3">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6" ht="18" customHeight="1" x14ac:dyDescent="0.3">
      <c r="A13" s="5"/>
      <c r="B13" s="5" t="s">
        <v>9</v>
      </c>
      <c r="C13" s="65">
        <f>C8*Apoio!B16</f>
        <v>48.675505653430484</v>
      </c>
      <c r="D13" s="5"/>
      <c r="E13" s="5"/>
      <c r="F13" s="5"/>
      <c r="G13" s="5"/>
      <c r="H13" s="5"/>
      <c r="I13" s="5"/>
      <c r="J13" s="5"/>
      <c r="K13" s="5"/>
      <c r="L13" s="5"/>
      <c r="M13" s="5"/>
      <c r="N13" s="5"/>
      <c r="O13" s="5"/>
      <c r="P13" s="5"/>
      <c r="Q13" s="5"/>
      <c r="R13" s="5"/>
      <c r="S13" s="5"/>
      <c r="T13" s="5"/>
      <c r="U13" s="5"/>
      <c r="V13" s="5"/>
      <c r="W13" s="5"/>
      <c r="X13" s="5"/>
      <c r="Y13" s="5"/>
      <c r="Z13" s="5"/>
    </row>
    <row r="14" spans="1:26" ht="18" customHeight="1" x14ac:dyDescent="0.3">
      <c r="A14" s="5"/>
      <c r="B14" s="5" t="s">
        <v>10</v>
      </c>
      <c r="C14" s="8">
        <f>IFERROR(C13/C11,"")</f>
        <v>2.4337752826715242E-3</v>
      </c>
      <c r="D14" s="5"/>
      <c r="E14" s="5"/>
      <c r="F14" s="5"/>
      <c r="G14" s="5"/>
      <c r="H14" s="5"/>
      <c r="I14" s="5"/>
      <c r="J14" s="5"/>
      <c r="K14" s="5"/>
      <c r="L14" s="5"/>
      <c r="M14" s="5"/>
      <c r="N14" s="5"/>
      <c r="O14" s="5"/>
      <c r="P14" s="5"/>
      <c r="Q14" s="5"/>
      <c r="R14" s="5"/>
      <c r="S14" s="5"/>
      <c r="T14" s="5"/>
      <c r="U14" s="5"/>
      <c r="V14" s="5"/>
      <c r="W14" s="5"/>
      <c r="X14" s="5"/>
      <c r="Y14" s="5"/>
      <c r="Z14" s="5"/>
    </row>
    <row r="15" spans="1:26" ht="18" customHeight="1" x14ac:dyDescent="0.3">
      <c r="A15" s="5"/>
      <c r="B15" s="5" t="s">
        <v>8</v>
      </c>
      <c r="C15" s="65">
        <f ca="1">C19*Apoio!B16</f>
        <v>15436.232701611358</v>
      </c>
      <c r="D15" s="5"/>
      <c r="E15" s="5"/>
      <c r="F15" s="5"/>
      <c r="G15" s="5"/>
      <c r="H15" s="5"/>
      <c r="I15" s="5"/>
      <c r="J15" s="5"/>
      <c r="K15" s="5"/>
      <c r="L15" s="5"/>
      <c r="M15" s="5"/>
      <c r="N15" s="5"/>
      <c r="O15" s="5"/>
      <c r="P15" s="5"/>
      <c r="Q15" s="5"/>
      <c r="R15" s="5"/>
      <c r="S15" s="5"/>
      <c r="T15" s="5"/>
      <c r="U15" s="5"/>
      <c r="V15" s="5"/>
      <c r="W15" s="5"/>
      <c r="X15" s="5"/>
      <c r="Y15" s="5"/>
      <c r="Z15" s="5"/>
    </row>
    <row r="16" spans="1:26" ht="18" customHeight="1" x14ac:dyDescent="0.3">
      <c r="A16" s="5"/>
      <c r="B16" s="5" t="s">
        <v>12</v>
      </c>
      <c r="C16" s="65">
        <f>C11/Apoio!B16</f>
        <v>4108842.7806790476</v>
      </c>
      <c r="D16" s="5"/>
      <c r="E16" s="5"/>
      <c r="F16" s="5"/>
      <c r="G16" s="5"/>
      <c r="H16" s="5"/>
      <c r="I16" s="5"/>
      <c r="J16" s="5"/>
      <c r="K16" s="5"/>
      <c r="L16" s="5"/>
      <c r="M16" s="5"/>
      <c r="N16" s="5"/>
      <c r="O16" s="5"/>
      <c r="P16" s="5"/>
      <c r="Q16" s="5"/>
      <c r="R16" s="5"/>
      <c r="S16" s="5"/>
      <c r="T16" s="5"/>
      <c r="U16" s="5"/>
      <c r="V16" s="5"/>
      <c r="W16" s="5"/>
      <c r="X16" s="5"/>
      <c r="Y16" s="5"/>
      <c r="Z16" s="5"/>
    </row>
    <row r="17" spans="1:26" ht="18" customHeight="1" x14ac:dyDescent="0.3">
      <c r="A17" s="5"/>
      <c r="B17" s="5" t="s">
        <v>11</v>
      </c>
      <c r="C17" s="65">
        <f ca="1">PMT(Apoio!B13,Apoio!B10/30,Gráfico!C8,-Gráfico!C16)</f>
        <v>6499.7103332424258</v>
      </c>
      <c r="D17" s="5"/>
      <c r="E17" s="5"/>
      <c r="F17" s="5"/>
      <c r="G17" s="5"/>
      <c r="H17" s="5"/>
      <c r="I17" s="5"/>
      <c r="J17" s="5"/>
      <c r="K17" s="5"/>
      <c r="L17" s="5"/>
      <c r="M17" s="5"/>
      <c r="N17" s="5"/>
      <c r="O17" s="5"/>
      <c r="P17" s="5"/>
      <c r="Q17" s="5"/>
      <c r="R17" s="5"/>
      <c r="S17" s="5"/>
      <c r="T17" s="5"/>
      <c r="U17" s="5"/>
      <c r="V17" s="5"/>
      <c r="W17" s="5"/>
      <c r="X17" s="5"/>
      <c r="Y17" s="5"/>
      <c r="Z17" s="5"/>
    </row>
    <row r="18" spans="1:26" ht="18" customHeight="1" x14ac:dyDescent="0.3">
      <c r="A18" s="5"/>
      <c r="B18" s="5" t="s">
        <v>13</v>
      </c>
      <c r="C18" s="9" t="str">
        <f ca="1">Apoio!B25</f>
        <v>53 anos</v>
      </c>
      <c r="D18" s="5"/>
      <c r="E18" s="5"/>
      <c r="F18" s="5"/>
      <c r="G18" s="5"/>
      <c r="H18" s="5"/>
      <c r="I18" s="5"/>
      <c r="J18" s="5"/>
      <c r="K18" s="5"/>
      <c r="L18" s="5"/>
      <c r="M18" s="5"/>
      <c r="N18" s="5"/>
      <c r="O18" s="5"/>
      <c r="P18" s="5"/>
      <c r="Q18" s="5"/>
      <c r="R18" s="5"/>
      <c r="S18" s="5"/>
      <c r="T18" s="5"/>
      <c r="U18" s="5"/>
      <c r="V18" s="5"/>
      <c r="W18" s="5"/>
      <c r="X18" s="5"/>
      <c r="Y18" s="5"/>
      <c r="Z18" s="5"/>
    </row>
    <row r="19" spans="1:26" ht="18" customHeight="1" x14ac:dyDescent="0.3">
      <c r="A19" s="5"/>
      <c r="B19" s="5" t="s">
        <v>21</v>
      </c>
      <c r="C19" s="65">
        <f ca="1">FV(Apoio!B13,Apoio!B10/30,-Gráfico!C9,-Gráfico!C8)</f>
        <v>3171252.6648448827</v>
      </c>
      <c r="D19" s="5"/>
      <c r="E19" s="5"/>
      <c r="F19" s="5"/>
      <c r="G19" s="5"/>
      <c r="H19" s="5"/>
      <c r="I19" s="5"/>
      <c r="J19" s="5"/>
      <c r="K19" s="5"/>
      <c r="L19" s="5"/>
      <c r="M19" s="5"/>
      <c r="N19" s="5"/>
      <c r="O19" s="5"/>
      <c r="P19" s="5"/>
      <c r="Q19" s="5"/>
      <c r="R19" s="5"/>
      <c r="S19" s="5"/>
      <c r="T19" s="5"/>
      <c r="U19" s="5"/>
      <c r="V19" s="5"/>
      <c r="W19" s="5"/>
      <c r="X19" s="5"/>
      <c r="Y19" s="5"/>
      <c r="Z19" s="5"/>
    </row>
    <row r="20" spans="1:26" ht="18" customHeight="1" x14ac:dyDescent="0.3">
      <c r="A20" s="5"/>
      <c r="B20" s="5" t="s">
        <v>34</v>
      </c>
      <c r="C20" s="41">
        <f ca="1">IFERROR((1+Apoio!B20)^12-1,"")</f>
        <v>8.9557078546153468E-2</v>
      </c>
      <c r="D20" s="5"/>
      <c r="E20" s="5"/>
      <c r="F20" s="5"/>
      <c r="G20" s="5"/>
      <c r="H20" s="5"/>
      <c r="I20" s="5"/>
      <c r="J20" s="5"/>
      <c r="K20" s="5"/>
      <c r="L20" s="5"/>
      <c r="M20" s="5"/>
      <c r="N20" s="5"/>
      <c r="O20" s="5"/>
      <c r="P20" s="5"/>
      <c r="Q20" s="5"/>
      <c r="R20" s="5"/>
      <c r="S20" s="5"/>
      <c r="T20" s="5"/>
      <c r="U20" s="5"/>
      <c r="V20" s="5"/>
      <c r="W20" s="5"/>
      <c r="X20" s="5"/>
      <c r="Y20" s="5"/>
      <c r="Z20" s="5"/>
    </row>
    <row r="21" spans="1:26" ht="16.5" customHeight="1" x14ac:dyDescent="0.3">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16.5" customHeight="1" x14ac:dyDescent="0.3">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16.5" customHeight="1" x14ac:dyDescent="0.3">
      <c r="A23" s="5"/>
      <c r="B23" s="69" t="s">
        <v>60</v>
      </c>
      <c r="C23" s="69"/>
      <c r="D23" s="69"/>
      <c r="E23" s="69"/>
      <c r="F23" s="69"/>
      <c r="G23" s="69"/>
      <c r="H23" s="69"/>
      <c r="I23" s="69"/>
      <c r="J23" s="69"/>
      <c r="K23" s="69"/>
      <c r="L23" s="69"/>
      <c r="M23" s="5"/>
      <c r="N23" s="5"/>
      <c r="O23" s="5"/>
      <c r="P23" s="5"/>
      <c r="Q23" s="5"/>
      <c r="R23" s="5"/>
      <c r="S23" s="5"/>
      <c r="T23" s="5"/>
      <c r="U23" s="5"/>
      <c r="V23" s="5"/>
      <c r="W23" s="5"/>
      <c r="X23" s="5"/>
      <c r="Y23" s="5"/>
      <c r="Z23" s="5"/>
    </row>
    <row r="24" spans="1:26" ht="16.5" customHeight="1" x14ac:dyDescent="0.3">
      <c r="A24" s="5"/>
      <c r="B24" s="69"/>
      <c r="C24" s="69"/>
      <c r="D24" s="69"/>
      <c r="E24" s="69"/>
      <c r="F24" s="69"/>
      <c r="G24" s="69"/>
      <c r="H24" s="69"/>
      <c r="I24" s="69"/>
      <c r="J24" s="69"/>
      <c r="K24" s="69"/>
      <c r="L24" s="69"/>
      <c r="M24" s="5"/>
      <c r="N24" s="5"/>
      <c r="O24" s="5"/>
      <c r="P24" s="5"/>
      <c r="Q24" s="5"/>
      <c r="R24" s="5"/>
      <c r="S24" s="5"/>
      <c r="T24" s="5"/>
      <c r="U24" s="5"/>
      <c r="V24" s="5"/>
      <c r="W24" s="5"/>
      <c r="X24" s="5"/>
      <c r="Y24" s="5"/>
      <c r="Z24" s="5"/>
    </row>
    <row r="25" spans="1:26" ht="16.5" customHeight="1" x14ac:dyDescent="0.3">
      <c r="A25" s="5"/>
      <c r="B25" s="69"/>
      <c r="C25" s="69"/>
      <c r="D25" s="69"/>
      <c r="E25" s="69"/>
      <c r="F25" s="69"/>
      <c r="G25" s="69"/>
      <c r="H25" s="69"/>
      <c r="I25" s="69"/>
      <c r="J25" s="69"/>
      <c r="K25" s="69"/>
      <c r="L25" s="69"/>
      <c r="M25" s="5"/>
      <c r="N25" s="5"/>
      <c r="O25" s="5"/>
      <c r="P25" s="5"/>
      <c r="Q25" s="5"/>
      <c r="R25" s="5"/>
      <c r="S25" s="5"/>
      <c r="T25" s="5"/>
      <c r="U25" s="5"/>
      <c r="V25" s="5"/>
      <c r="W25" s="5"/>
      <c r="X25" s="5"/>
      <c r="Y25" s="5"/>
      <c r="Z25" s="5"/>
    </row>
    <row r="26" spans="1:26" ht="16.5" customHeight="1" x14ac:dyDescent="0.3">
      <c r="A26" s="5"/>
      <c r="B26" s="44"/>
      <c r="C26" s="44"/>
      <c r="D26" s="70" t="s">
        <v>61</v>
      </c>
      <c r="E26" s="70"/>
      <c r="F26" s="70"/>
      <c r="G26" s="70"/>
      <c r="H26" s="70"/>
      <c r="I26" s="70"/>
      <c r="J26" s="44"/>
      <c r="K26" s="44"/>
      <c r="L26" s="44"/>
      <c r="M26" s="5"/>
      <c r="N26" s="5"/>
      <c r="O26" s="5"/>
      <c r="P26" s="5"/>
      <c r="Q26" s="5"/>
      <c r="R26" s="5"/>
      <c r="S26" s="5"/>
      <c r="T26" s="5"/>
      <c r="U26" s="5"/>
      <c r="V26" s="5"/>
      <c r="W26" s="5"/>
      <c r="X26" s="5"/>
      <c r="Y26" s="5"/>
      <c r="Z26" s="5"/>
    </row>
    <row r="27" spans="1:26" ht="16.5" customHeight="1" x14ac:dyDescent="0.3">
      <c r="A27" s="5"/>
      <c r="B27" s="44"/>
      <c r="C27" s="44"/>
      <c r="D27" s="70"/>
      <c r="E27" s="70"/>
      <c r="F27" s="70"/>
      <c r="G27" s="70"/>
      <c r="H27" s="70"/>
      <c r="I27" s="70"/>
      <c r="J27" s="44"/>
      <c r="K27" s="44"/>
      <c r="L27" s="44"/>
      <c r="M27" s="5"/>
      <c r="N27" s="5"/>
      <c r="O27" s="5"/>
      <c r="P27" s="5"/>
      <c r="Q27" s="5"/>
      <c r="R27" s="5"/>
      <c r="S27" s="5"/>
      <c r="T27" s="5"/>
      <c r="U27" s="5"/>
      <c r="V27" s="5"/>
      <c r="W27" s="5"/>
      <c r="X27" s="5"/>
      <c r="Y27" s="5"/>
      <c r="Z27" s="5"/>
    </row>
    <row r="28" spans="1:26" ht="16.5" customHeight="1" x14ac:dyDescent="0.3">
      <c r="A28" s="5"/>
      <c r="B28" s="44"/>
      <c r="C28" s="44"/>
      <c r="D28" s="44"/>
      <c r="E28" s="44"/>
      <c r="F28" s="44"/>
      <c r="G28" s="44"/>
      <c r="H28" s="44"/>
      <c r="I28" s="44"/>
      <c r="J28" s="44"/>
      <c r="K28" s="44"/>
      <c r="L28" s="44"/>
      <c r="M28" s="5"/>
      <c r="N28" s="5"/>
      <c r="O28" s="5"/>
      <c r="P28" s="5"/>
      <c r="Q28" s="5"/>
      <c r="R28" s="5"/>
      <c r="S28" s="5"/>
      <c r="T28" s="5"/>
      <c r="U28" s="5"/>
      <c r="V28" s="5"/>
      <c r="W28" s="5"/>
      <c r="X28" s="5"/>
      <c r="Y28" s="5"/>
      <c r="Z28" s="5"/>
    </row>
    <row r="29" spans="1:26" ht="16.5" customHeight="1" x14ac:dyDescent="0.3">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6.5" customHeight="1" x14ac:dyDescent="0.3">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6.5" customHeight="1" x14ac:dyDescent="0.3"/>
  </sheetData>
  <sheetProtection algorithmName="SHA-512" hashValue="hULi0Y5whXW3bphywY0lxRKOT77BdNQ4otc1WReLgnW1rNdx99ViwsiuRnszuO2EijoGIvZqe4htoGR92ZBk2g==" saltValue="Hm+0QWIJBEzWylUf8ObvkQ==" spinCount="100000" sheet="1" objects="1" scenarios="1"/>
  <mergeCells count="4">
    <mergeCell ref="B5:C5"/>
    <mergeCell ref="A3:Z3"/>
    <mergeCell ref="B23:L25"/>
    <mergeCell ref="D26:I27"/>
  </mergeCells>
  <hyperlinks>
    <hyperlink ref="D26:I27" r:id="rId1" display="Quero agendar uma reunião! " xr:uid="{8EABFDE2-3F75-48B0-B42E-9D2CEC7B0601}"/>
  </hyperlinks>
  <pageMargins left="0.511811024" right="0.511811024" top="0.78740157499999996" bottom="0.78740157499999996" header="0.31496062000000002" footer="0.31496062000000002"/>
  <pageSetup paperSize="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C3E18BD-93B6-4E3C-8F00-4F5D8C53931C}">
          <x14:formula1>
            <xm:f>Apoio!$A$2:$A$6</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B7C4E-F260-479B-8212-3A99ED93A45B}">
  <dimension ref="A1:L25"/>
  <sheetViews>
    <sheetView showGridLines="0" workbookViewId="0">
      <selection activeCell="L9" sqref="L9"/>
    </sheetView>
  </sheetViews>
  <sheetFormatPr defaultRowHeight="15" x14ac:dyDescent="0.3"/>
  <cols>
    <col min="1" max="1" width="19.21875" bestFit="1" customWidth="1"/>
    <col min="2" max="3" width="9.6640625" customWidth="1"/>
    <col min="5" max="5" width="11.5546875" bestFit="1" customWidth="1"/>
    <col min="6" max="6" width="10.21875" bestFit="1" customWidth="1"/>
    <col min="9" max="9" width="9.5546875" customWidth="1"/>
    <col min="10" max="10" width="9.5546875" bestFit="1" customWidth="1"/>
  </cols>
  <sheetData>
    <row r="1" spans="1:12" x14ac:dyDescent="0.3">
      <c r="A1" s="12"/>
      <c r="B1" s="13" t="s">
        <v>14</v>
      </c>
      <c r="C1" s="14" t="s">
        <v>15</v>
      </c>
    </row>
    <row r="2" spans="1:12" x14ac:dyDescent="0.3">
      <c r="A2" s="15" t="s">
        <v>16</v>
      </c>
      <c r="B2" s="37">
        <v>0.04</v>
      </c>
      <c r="C2" s="38">
        <v>0.04</v>
      </c>
      <c r="E2" s="42"/>
      <c r="F2" s="2"/>
      <c r="G2" s="2"/>
      <c r="H2" s="2"/>
      <c r="I2" s="2"/>
    </row>
    <row r="3" spans="1:12" x14ac:dyDescent="0.3">
      <c r="A3" s="15" t="s">
        <v>17</v>
      </c>
      <c r="B3" s="37">
        <v>0.05</v>
      </c>
      <c r="C3" s="38">
        <v>0.05</v>
      </c>
      <c r="E3" s="3"/>
      <c r="F3" s="3"/>
      <c r="G3" s="3"/>
      <c r="H3" s="3"/>
      <c r="I3" s="3"/>
    </row>
    <row r="4" spans="1:12" x14ac:dyDescent="0.3">
      <c r="A4" s="15" t="s">
        <v>18</v>
      </c>
      <c r="B4" s="37">
        <v>0.06</v>
      </c>
      <c r="C4" s="38">
        <v>0.05</v>
      </c>
      <c r="E4" s="43"/>
      <c r="F4" s="43"/>
      <c r="G4" s="43"/>
      <c r="H4" s="43"/>
      <c r="I4" s="43"/>
    </row>
    <row r="5" spans="1:12" x14ac:dyDescent="0.3">
      <c r="A5" s="15" t="s">
        <v>19</v>
      </c>
      <c r="B5" s="3">
        <v>6.5000000000000002E-2</v>
      </c>
      <c r="C5" s="34">
        <v>5.5E-2</v>
      </c>
    </row>
    <row r="6" spans="1:12" x14ac:dyDescent="0.3">
      <c r="A6" s="36" t="s">
        <v>20</v>
      </c>
      <c r="B6" s="39">
        <v>7.0000000000000007E-2</v>
      </c>
      <c r="C6" s="40">
        <v>0.06</v>
      </c>
    </row>
    <row r="8" spans="1:12" x14ac:dyDescent="0.3">
      <c r="A8" s="12" t="s">
        <v>22</v>
      </c>
      <c r="B8" s="31">
        <f ca="1">TODAY()</f>
        <v>45527</v>
      </c>
      <c r="E8" s="12" t="s">
        <v>31</v>
      </c>
      <c r="F8" s="13" t="s">
        <v>30</v>
      </c>
      <c r="G8" s="13" t="s">
        <v>7</v>
      </c>
      <c r="H8" s="13" t="s">
        <v>10</v>
      </c>
      <c r="I8" s="13" t="s">
        <v>33</v>
      </c>
      <c r="J8" s="13" t="s">
        <v>15</v>
      </c>
      <c r="K8" s="14" t="s">
        <v>32</v>
      </c>
    </row>
    <row r="9" spans="1:12" x14ac:dyDescent="0.3">
      <c r="A9" s="15" t="s">
        <v>23</v>
      </c>
      <c r="B9" s="32">
        <f>EDATE(Gráfico!C6,12*Gráfico!C10)</f>
        <v>53571</v>
      </c>
      <c r="E9" s="15">
        <v>0</v>
      </c>
      <c r="F9" s="6">
        <f ca="1">EDATE($B$8,12*E9)</f>
        <v>45527</v>
      </c>
      <c r="G9" s="16">
        <f ca="1">(F9-Gráfico!$C$6)/365</f>
        <v>27.994520547945207</v>
      </c>
      <c r="H9" s="17">
        <f ca="1">J9/Gráfico!$C$11</f>
        <v>2.4337752826715242E-3</v>
      </c>
      <c r="I9" s="18">
        <f ca="1">FV(Apoio!$B$12,Apoio!F9-$B$8,-Apoio!$B$11,-Gráfico!$C$8)</f>
        <v>10000</v>
      </c>
      <c r="J9" s="19">
        <f t="shared" ref="J9:J18" ca="1" si="0">I9*$B$16</f>
        <v>48.675505653430484</v>
      </c>
      <c r="K9" s="20">
        <v>1</v>
      </c>
      <c r="L9" s="19" t="str">
        <f ca="1">_xlfn.CONCAT(ROUND(I9/1000000,2)," Mi")</f>
        <v>0,01 Mi</v>
      </c>
    </row>
    <row r="10" spans="1:12" x14ac:dyDescent="0.3">
      <c r="A10" s="15" t="s">
        <v>24</v>
      </c>
      <c r="B10" s="33">
        <f ca="1">B9-B8</f>
        <v>8044</v>
      </c>
      <c r="E10" s="21">
        <f t="shared" ref="E10:E15" ca="1" si="1">($E$17-$E$9)/8+E9</f>
        <v>3.1316277628150506</v>
      </c>
      <c r="F10" s="6">
        <f t="shared" ref="F10:F18" ca="1" si="2">EDATE($B$8,12*E10)</f>
        <v>46653</v>
      </c>
      <c r="G10" s="16">
        <f ca="1">(F10-Gráfico!$C$6)/365</f>
        <v>31.079452054794519</v>
      </c>
      <c r="H10" s="17">
        <f ca="1">J10/Gráfico!$C$11</f>
        <v>5.3088371617068107E-2</v>
      </c>
      <c r="I10" s="18">
        <f ca="1">FV(Apoio!$B$12,Apoio!F10-$B$8,-Apoio!$B$11,-Gráfico!$C$8)</f>
        <v>218131.77245679672</v>
      </c>
      <c r="J10" s="19">
        <f t="shared" ca="1" si="0"/>
        <v>1061.7674323413621</v>
      </c>
      <c r="K10" s="20">
        <v>1</v>
      </c>
      <c r="L10" s="19" t="str">
        <f t="shared" ref="L10:L18" ca="1" si="3">_xlfn.CONCAT(ROUND(I10/1000000,2)," Mi")</f>
        <v>0,22 Mi</v>
      </c>
    </row>
    <row r="11" spans="1:12" x14ac:dyDescent="0.3">
      <c r="A11" s="15" t="s">
        <v>25</v>
      </c>
      <c r="B11" s="33">
        <f>(Gráfico!C9*12)/365</f>
        <v>164.38356164383561</v>
      </c>
      <c r="D11" s="3" t="e">
        <f ca="1">RATE((F10-F9),B11,-I9,I10)</f>
        <v>#NUM!</v>
      </c>
      <c r="E11" s="21">
        <f t="shared" ca="1" si="1"/>
        <v>6.2632555256301012</v>
      </c>
      <c r="F11" s="6">
        <f t="shared" ca="1" si="2"/>
        <v>47810</v>
      </c>
      <c r="G11" s="16">
        <f ca="1">(F11-Gráfico!$C$6)/365</f>
        <v>34.249315068493154</v>
      </c>
      <c r="H11" s="17">
        <f ca="1">J11/Gráfico!$C$11</f>
        <v>0.11740933569486019</v>
      </c>
      <c r="I11" s="18">
        <f ca="1">FV(Apoio!$B$12,Apoio!F11-$B$8,-Apoio!$B$11,-Gráfico!$C$8)</f>
        <v>482416.50135414908</v>
      </c>
      <c r="J11" s="19">
        <f t="shared" ca="1" si="0"/>
        <v>2348.1867138972038</v>
      </c>
      <c r="K11" s="20">
        <v>1</v>
      </c>
      <c r="L11" s="19" t="str">
        <f t="shared" ca="1" si="3"/>
        <v>0,48 Mi</v>
      </c>
    </row>
    <row r="12" spans="1:12" x14ac:dyDescent="0.3">
      <c r="A12" s="15" t="s">
        <v>26</v>
      </c>
      <c r="B12" s="34">
        <f>(1+Gráfico!L5)^(1/365)-1</f>
        <v>1.8538334157058856E-4</v>
      </c>
      <c r="E12" s="21">
        <f t="shared" ca="1" si="1"/>
        <v>9.3948832884451523</v>
      </c>
      <c r="F12" s="6">
        <f t="shared" ca="1" si="2"/>
        <v>48936</v>
      </c>
      <c r="G12" s="16">
        <f ca="1">(F12-Gráfico!$C$6)/365</f>
        <v>37.334246575342469</v>
      </c>
      <c r="H12" s="17">
        <f ca="1">J12/Gráfico!$C$11</f>
        <v>0.1947500805690649</v>
      </c>
      <c r="I12" s="18">
        <f ca="1">FV(Apoio!$B$12,Apoio!F12-$B$8,-Apoio!$B$11,-Gráfico!$C$8)</f>
        <v>800197.46258286515</v>
      </c>
      <c r="J12" s="19">
        <f t="shared" ca="1" si="0"/>
        <v>3895.0016113812981</v>
      </c>
      <c r="K12" s="20">
        <v>1</v>
      </c>
      <c r="L12" s="19" t="str">
        <f t="shared" ca="1" si="3"/>
        <v>0,8 Mi</v>
      </c>
    </row>
    <row r="13" spans="1:12" x14ac:dyDescent="0.3">
      <c r="A13" s="15" t="s">
        <v>36</v>
      </c>
      <c r="B13" s="34">
        <f>(1+Gráfico!L5)^(1/12)-1</f>
        <v>5.6541453874052738E-3</v>
      </c>
      <c r="E13" s="21">
        <f t="shared" ca="1" si="1"/>
        <v>12.526511051260202</v>
      </c>
      <c r="F13" s="6">
        <f t="shared" ca="1" si="2"/>
        <v>50094</v>
      </c>
      <c r="G13" s="16">
        <f ca="1">(F13-Gráfico!$C$6)/365</f>
        <v>40.506849315068493</v>
      </c>
      <c r="H13" s="17">
        <f ca="1">J13/Gráfico!$C$11</f>
        <v>0.29305130499808674</v>
      </c>
      <c r="I13" s="18">
        <f ca="1">FV(Apoio!$B$12,Apoio!F13-$B$8,-Apoio!$B$11,-Gráfico!$C$8)</f>
        <v>1204101.7389099624</v>
      </c>
      <c r="J13" s="19">
        <f t="shared" ca="1" si="0"/>
        <v>5861.0260999617349</v>
      </c>
      <c r="K13" s="20">
        <v>1</v>
      </c>
      <c r="L13" s="19" t="str">
        <f t="shared" ca="1" si="3"/>
        <v>1,2 Mi</v>
      </c>
    </row>
    <row r="14" spans="1:12" x14ac:dyDescent="0.3">
      <c r="B14" s="20"/>
      <c r="E14" s="21">
        <f t="shared" ca="1" si="1"/>
        <v>15.658138814075253</v>
      </c>
      <c r="F14" s="6">
        <f t="shared" ca="1" si="2"/>
        <v>51218</v>
      </c>
      <c r="G14" s="16">
        <f ca="1">(F14-Gráfico!$C$6)/365</f>
        <v>43.586301369863016</v>
      </c>
      <c r="H14" s="17">
        <f ca="1">J14/Gráfico!$C$11</f>
        <v>0.41092664729444112</v>
      </c>
      <c r="I14" s="18">
        <f ca="1">FV(Apoio!$B$12,Apoio!F14-$B$8,-Apoio!$B$11,-Gráfico!$C$8)</f>
        <v>1688432.9881244097</v>
      </c>
      <c r="J14" s="19">
        <f t="shared" ca="1" si="0"/>
        <v>8218.5329458888227</v>
      </c>
      <c r="K14" s="20">
        <v>1</v>
      </c>
      <c r="L14" s="19" t="str">
        <f t="shared" ca="1" si="3"/>
        <v>1,69 Mi</v>
      </c>
    </row>
    <row r="15" spans="1:12" x14ac:dyDescent="0.3">
      <c r="A15" s="15" t="s">
        <v>27</v>
      </c>
      <c r="B15" s="35">
        <f>_xlfn.XLOOKUP(Gráfico!C7,Apoio!$A$2:$A$6,Apoio!$C$2:$C$6)</f>
        <v>0.06</v>
      </c>
      <c r="E15" s="21">
        <f t="shared" ca="1" si="1"/>
        <v>18.789766576890305</v>
      </c>
      <c r="F15" s="6">
        <f t="shared" ca="1" si="2"/>
        <v>52374</v>
      </c>
      <c r="G15" s="16">
        <f ca="1">(F15-Gráfico!$C$6)/365</f>
        <v>46.753424657534246</v>
      </c>
      <c r="H15" s="17">
        <f ca="1">J15/Gráfico!$C$11</f>
        <v>0.56069974469547956</v>
      </c>
      <c r="I15" s="18">
        <f ca="1">FV(Apoio!$B$12,Apoio!F15-$B$8,-Apoio!$B$11,-Gráfico!$C$8)</f>
        <v>2303827.098120606</v>
      </c>
      <c r="J15" s="19">
        <f t="shared" ca="1" si="0"/>
        <v>11213.99489390959</v>
      </c>
      <c r="K15" s="20">
        <v>1</v>
      </c>
      <c r="L15" s="19" t="str">
        <f t="shared" ca="1" si="3"/>
        <v>2,3 Mi</v>
      </c>
    </row>
    <row r="16" spans="1:12" x14ac:dyDescent="0.3">
      <c r="A16" s="15" t="s">
        <v>28</v>
      </c>
      <c r="B16" s="35">
        <f>(1+B15)^(1/12)-1</f>
        <v>4.8675505653430484E-3</v>
      </c>
      <c r="E16" s="21">
        <f ca="1">($E$17-$E$9)/8+E15</f>
        <v>21.921394339705355</v>
      </c>
      <c r="F16" s="6">
        <f t="shared" ca="1" si="2"/>
        <v>53531</v>
      </c>
      <c r="G16" s="16">
        <f ca="1">(F16-Gráfico!$C$6)/365</f>
        <v>49.923287671232877</v>
      </c>
      <c r="H16" s="17">
        <f ca="1">J16/Gráfico!$C$11</f>
        <v>0.74644300812014175</v>
      </c>
      <c r="I16" s="18">
        <f ca="1">FV(Apoio!$B$12,Apoio!F16-$B$8,-Apoio!$B$11,-Gráfico!$C$8)</f>
        <v>3067016.965102796</v>
      </c>
      <c r="J16" s="19">
        <f t="shared" ca="1" si="0"/>
        <v>14928.860162402836</v>
      </c>
      <c r="K16" s="20">
        <v>1</v>
      </c>
      <c r="L16" s="19" t="str">
        <f t="shared" ca="1" si="3"/>
        <v>3,07 Mi</v>
      </c>
    </row>
    <row r="17" spans="1:12" x14ac:dyDescent="0.3">
      <c r="A17" s="15"/>
      <c r="B17" s="20"/>
      <c r="C17" s="6"/>
      <c r="E17" s="22">
        <f ca="1">(F17-B8)/365.25</f>
        <v>25.053022102520405</v>
      </c>
      <c r="F17" s="23">
        <f ca="1">B18</f>
        <v>54677.616322945578</v>
      </c>
      <c r="G17" s="16">
        <f ca="1">(F17-Gráfico!$C$6)/365</f>
        <v>53.064702254645418</v>
      </c>
      <c r="H17" s="17">
        <f ca="1">J17/Gráfico!$C$11</f>
        <v>0.97432371606531487</v>
      </c>
      <c r="I17" s="18">
        <f ca="1">FV(Apoio!$B$12,Apoio!F17-$B$8,-Apoio!$B$11,-Gráfico!$C$8)</f>
        <v>4003342.9667993509</v>
      </c>
      <c r="J17" s="19">
        <f t="shared" ca="1" si="0"/>
        <v>19486.474321306297</v>
      </c>
      <c r="K17" s="20">
        <v>1</v>
      </c>
      <c r="L17" s="19" t="str">
        <f t="shared" ca="1" si="3"/>
        <v>4 Mi</v>
      </c>
    </row>
    <row r="18" spans="1:12" x14ac:dyDescent="0.3">
      <c r="A18" s="15" t="s">
        <v>29</v>
      </c>
      <c r="B18" s="32">
        <f ca="1">NPER(B13,Gráfico!C9,Gráfico!C8,-Gráfico!C16)*30+Apoio!B8</f>
        <v>54677.616322945578</v>
      </c>
      <c r="C18" s="6">
        <f ca="1">NPER(Apoio!B12,Apoio!B11,Gráfico!C8,-Gráfico!C16)+Apoio!B8</f>
        <v>54792.766165388981</v>
      </c>
      <c r="E18" s="24">
        <f ca="1">($E$17-$E$9)/8+E17</f>
        <v>28.184649865335455</v>
      </c>
      <c r="F18" s="25">
        <f t="shared" ca="1" si="2"/>
        <v>55815</v>
      </c>
      <c r="G18" s="26">
        <f ca="1">(F18-Gráfico!$C$6)/365</f>
        <v>56.180821917808217</v>
      </c>
      <c r="H18" s="27">
        <f ca="1">J18/Gráfico!$C$11</f>
        <v>1.2536541956461651</v>
      </c>
      <c r="I18" s="28">
        <f ca="1">FV(Apoio!$B$12,Apoio!F18-$B$8,-Apoio!$B$11,-Gráfico!$C$8)</f>
        <v>5151067.9912487436</v>
      </c>
      <c r="J18" s="29">
        <f t="shared" ca="1" si="0"/>
        <v>25073.083912923303</v>
      </c>
      <c r="K18" s="30">
        <v>1</v>
      </c>
      <c r="L18" s="19" t="str">
        <f t="shared" ca="1" si="3"/>
        <v>5,15 Mi</v>
      </c>
    </row>
    <row r="19" spans="1:12" x14ac:dyDescent="0.3">
      <c r="A19" s="15" t="s">
        <v>13</v>
      </c>
      <c r="B19" s="52">
        <f ca="1">(B18-Gráfico!C6)/365.25</f>
        <v>53.028381445436217</v>
      </c>
      <c r="C19" s="6"/>
    </row>
    <row r="20" spans="1:12" x14ac:dyDescent="0.3">
      <c r="A20" s="36" t="s">
        <v>37</v>
      </c>
      <c r="B20" s="50">
        <f ca="1">RATE((Apoio!B9-Apoio!B8)/30,Gráfico!C9,Gráfico!C8,-Gráfico!C16)</f>
        <v>7.1732104079234122E-3</v>
      </c>
      <c r="C20" s="10"/>
    </row>
    <row r="21" spans="1:12" x14ac:dyDescent="0.3">
      <c r="B21" s="49"/>
    </row>
    <row r="22" spans="1:12" x14ac:dyDescent="0.3">
      <c r="A22" t="s">
        <v>38</v>
      </c>
      <c r="B22" s="63">
        <f ca="1">DATEDIF(Gráfico!C6,B18,"Y")</f>
        <v>53</v>
      </c>
      <c r="E22" s="2">
        <f ca="1">FV(Apoio!B12,Apoio!B10,-Apoio!B11,-Gráfico!C8)</f>
        <v>3096441.4959282726</v>
      </c>
    </row>
    <row r="23" spans="1:12" x14ac:dyDescent="0.3">
      <c r="A23" t="s">
        <v>39</v>
      </c>
      <c r="B23" s="1">
        <f ca="1">MOD(DATEDIF(Gráfico!C6,B18,"m"),B22)</f>
        <v>0</v>
      </c>
      <c r="E23" s="2">
        <f ca="1">FV(Apoio!B13,Apoio!B10/30,-Gráfico!C9,-Gráfico!C8)</f>
        <v>3171252.6648448827</v>
      </c>
    </row>
    <row r="24" spans="1:12" x14ac:dyDescent="0.3">
      <c r="A24" t="s">
        <v>7</v>
      </c>
      <c r="B24" t="str">
        <f ca="1">_xlfn.CONCAT(B22," a ",B23," m")</f>
        <v>53 a 0 m</v>
      </c>
    </row>
    <row r="25" spans="1:12" x14ac:dyDescent="0.3">
      <c r="A25" t="s">
        <v>59</v>
      </c>
      <c r="B25" s="19" t="str">
        <f ca="1">_xlfn.CONCAT(ROUND(B19,0)," anos")</f>
        <v>53 anos</v>
      </c>
    </row>
  </sheetData>
  <sheetProtection algorithmName="SHA-512" hashValue="14QNM7lIaAqfgJzcRjQw6/z7gcOX3DWEysGe0xGXzILeW44E8CaVwBMQCTdmOCgHTXrFb8+DawgIu7r5VS+OsQ==" saltValue="YvkIBskt9uHpZzi2GkfTlA==" spinCount="100000" sheet="1" objects="1" scenarios="1"/>
  <pageMargins left="0.511811024" right="0.511811024" top="0.78740157499999996" bottom="0.78740157499999996" header="0.31496062000000002" footer="0.31496062000000002"/>
  <ignoredErrors>
    <ignoredError sqref="E17:F1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1CDFE-5F3A-4E99-B14A-72FECD3E375F}">
  <dimension ref="A1:Z12"/>
  <sheetViews>
    <sheetView showGridLines="0" showRowColHeaders="0" workbookViewId="0">
      <selection activeCell="A4" sqref="A4"/>
    </sheetView>
  </sheetViews>
  <sheetFormatPr defaultColWidth="0" defaultRowHeight="15" customHeight="1" zeroHeight="1" x14ac:dyDescent="0.3"/>
  <cols>
    <col min="1" max="1" width="21" bestFit="1" customWidth="1"/>
    <col min="2" max="14" width="8.88671875" customWidth="1"/>
    <col min="15" max="26" width="8.88671875" hidden="1" customWidth="1"/>
    <col min="27" max="16384" width="8.88671875" hidden="1"/>
  </cols>
  <sheetData>
    <row r="1" spans="1:26" s="11" customFormat="1" ht="12.75" customHeight="1" x14ac:dyDescent="0.3">
      <c r="A1" s="44"/>
      <c r="B1" s="45"/>
      <c r="C1" s="44"/>
      <c r="D1" s="44"/>
      <c r="E1" s="44"/>
      <c r="F1" s="44"/>
      <c r="G1" s="44"/>
      <c r="H1" s="44"/>
      <c r="I1" s="44"/>
      <c r="J1" s="44"/>
      <c r="K1" s="44"/>
      <c r="L1" s="44"/>
      <c r="M1" s="44"/>
      <c r="N1" s="44"/>
      <c r="O1" s="44"/>
      <c r="P1" s="44"/>
      <c r="Q1" s="44"/>
      <c r="R1" s="44"/>
      <c r="S1" s="44"/>
      <c r="T1" s="44"/>
      <c r="U1" s="44"/>
      <c r="V1" s="44"/>
      <c r="W1" s="44"/>
      <c r="X1" s="44"/>
      <c r="Y1" s="44"/>
      <c r="Z1" s="44"/>
    </row>
    <row r="2" spans="1:26" s="11" customFormat="1" ht="12.75" customHeight="1" x14ac:dyDescent="0.3">
      <c r="A2" s="44"/>
      <c r="B2" s="44"/>
      <c r="C2" s="44"/>
      <c r="D2" s="44"/>
      <c r="E2" s="44"/>
      <c r="F2" s="44"/>
      <c r="G2" s="44"/>
      <c r="H2" s="44"/>
      <c r="I2" s="44"/>
      <c r="J2" s="44"/>
      <c r="K2" s="44"/>
      <c r="L2" s="44"/>
      <c r="M2" s="44"/>
      <c r="N2" s="44"/>
      <c r="O2" s="44"/>
      <c r="P2" s="44"/>
      <c r="Q2" s="44"/>
      <c r="R2" s="44"/>
      <c r="S2" s="44"/>
      <c r="T2" s="44"/>
      <c r="U2" s="44"/>
      <c r="V2" s="44"/>
      <c r="W2" s="44"/>
      <c r="X2" s="44"/>
      <c r="Y2" s="44"/>
      <c r="Z2" s="44"/>
    </row>
    <row r="3" spans="1:26" s="5" customFormat="1" ht="1.5" customHeight="1" x14ac:dyDescent="0.3">
      <c r="A3" s="68"/>
      <c r="B3" s="68"/>
      <c r="C3" s="68"/>
      <c r="D3" s="68"/>
      <c r="E3" s="68"/>
      <c r="F3" s="68"/>
      <c r="G3" s="68"/>
      <c r="H3" s="68"/>
      <c r="I3" s="68"/>
      <c r="J3" s="68"/>
      <c r="K3" s="68"/>
      <c r="L3" s="68"/>
      <c r="M3" s="68"/>
      <c r="N3" s="68"/>
      <c r="O3" s="68"/>
      <c r="P3" s="68"/>
      <c r="Q3" s="68"/>
      <c r="R3" s="68"/>
      <c r="S3" s="68"/>
      <c r="T3" s="68"/>
      <c r="U3" s="68"/>
      <c r="V3" s="68"/>
      <c r="W3" s="68"/>
      <c r="X3" s="68"/>
      <c r="Y3" s="68"/>
      <c r="Z3" s="68"/>
    </row>
    <row r="4" spans="1:26" s="53" customFormat="1" ht="18" customHeight="1" x14ac:dyDescent="0.3">
      <c r="A4" s="54" t="s">
        <v>1</v>
      </c>
      <c r="B4" s="55"/>
      <c r="C4" s="55"/>
      <c r="D4" s="55"/>
      <c r="E4" s="55"/>
      <c r="F4" s="55"/>
      <c r="G4" s="55"/>
      <c r="H4" s="55"/>
      <c r="I4" s="55"/>
      <c r="J4" s="55"/>
      <c r="K4" s="55"/>
      <c r="L4" s="55"/>
      <c r="M4" s="55"/>
      <c r="N4" s="55"/>
      <c r="O4" s="55"/>
      <c r="P4" s="55"/>
      <c r="Q4" s="55"/>
      <c r="R4" s="55"/>
      <c r="S4" s="55"/>
      <c r="T4" s="55"/>
      <c r="U4" s="55"/>
      <c r="V4" s="55"/>
      <c r="W4" s="55"/>
      <c r="X4" s="55"/>
      <c r="Y4" s="55"/>
      <c r="Z4" s="55"/>
    </row>
    <row r="5" spans="1:26" ht="34.5" customHeight="1" x14ac:dyDescent="0.3">
      <c r="A5" s="62" t="s">
        <v>2</v>
      </c>
      <c r="B5" s="78" t="s">
        <v>51</v>
      </c>
      <c r="C5" s="79"/>
      <c r="D5" s="79"/>
      <c r="E5" s="79"/>
      <c r="F5" s="79"/>
      <c r="G5" s="79"/>
      <c r="H5" s="79"/>
      <c r="I5" s="79"/>
      <c r="J5" s="77" t="s">
        <v>57</v>
      </c>
      <c r="K5" s="77"/>
      <c r="L5" s="77" t="s">
        <v>52</v>
      </c>
      <c r="M5" s="77"/>
      <c r="N5" s="61"/>
    </row>
    <row r="6" spans="1:26" ht="48" customHeight="1" x14ac:dyDescent="0.3">
      <c r="A6" s="57" t="s">
        <v>16</v>
      </c>
      <c r="B6" s="74" t="s">
        <v>49</v>
      </c>
      <c r="C6" s="75"/>
      <c r="D6" s="75"/>
      <c r="E6" s="75"/>
      <c r="F6" s="75"/>
      <c r="G6" s="75"/>
      <c r="H6" s="75"/>
      <c r="I6" s="75"/>
      <c r="J6" s="72">
        <v>0.04</v>
      </c>
      <c r="K6" s="72"/>
      <c r="L6" s="72">
        <v>0.04</v>
      </c>
      <c r="M6" s="72"/>
      <c r="N6" s="59"/>
      <c r="O6" s="53"/>
      <c r="P6" s="53"/>
      <c r="Q6" s="53"/>
      <c r="R6" s="53"/>
      <c r="S6" s="53"/>
      <c r="T6" s="53"/>
      <c r="U6" s="53"/>
      <c r="V6" s="53"/>
      <c r="W6" s="53"/>
      <c r="X6" s="53"/>
      <c r="Y6" s="53"/>
      <c r="Z6" s="53"/>
    </row>
    <row r="7" spans="1:26" ht="48" customHeight="1" x14ac:dyDescent="0.3">
      <c r="A7" s="56" t="s">
        <v>17</v>
      </c>
      <c r="B7" s="76" t="s">
        <v>53</v>
      </c>
      <c r="C7" s="71"/>
      <c r="D7" s="71"/>
      <c r="E7" s="71"/>
      <c r="F7" s="71"/>
      <c r="G7" s="71"/>
      <c r="H7" s="71"/>
      <c r="I7" s="71"/>
      <c r="J7" s="80">
        <v>0.05</v>
      </c>
      <c r="K7" s="80"/>
      <c r="L7" s="80">
        <v>0.05</v>
      </c>
      <c r="M7" s="80"/>
      <c r="N7" s="60"/>
    </row>
    <row r="8" spans="1:26" ht="48" customHeight="1" x14ac:dyDescent="0.3">
      <c r="A8" s="57" t="s">
        <v>18</v>
      </c>
      <c r="B8" s="74" t="s">
        <v>55</v>
      </c>
      <c r="C8" s="75"/>
      <c r="D8" s="75"/>
      <c r="E8" s="75"/>
      <c r="F8" s="75"/>
      <c r="G8" s="75"/>
      <c r="H8" s="75"/>
      <c r="I8" s="75"/>
      <c r="J8" s="72">
        <v>0.06</v>
      </c>
      <c r="K8" s="72"/>
      <c r="L8" s="72">
        <v>0.05</v>
      </c>
      <c r="M8" s="72"/>
      <c r="N8" s="59"/>
      <c r="O8" s="53"/>
      <c r="P8" s="53"/>
      <c r="Q8" s="53"/>
      <c r="R8" s="53"/>
      <c r="S8" s="53"/>
      <c r="T8" s="53"/>
      <c r="U8" s="53"/>
      <c r="V8" s="53"/>
      <c r="W8" s="53"/>
      <c r="X8" s="53"/>
      <c r="Y8" s="53"/>
      <c r="Z8" s="53"/>
    </row>
    <row r="9" spans="1:26" ht="48" customHeight="1" x14ac:dyDescent="0.3">
      <c r="A9" s="56" t="s">
        <v>19</v>
      </c>
      <c r="B9" s="76" t="s">
        <v>50</v>
      </c>
      <c r="C9" s="71"/>
      <c r="D9" s="71"/>
      <c r="E9" s="71"/>
      <c r="F9" s="71"/>
      <c r="G9" s="71"/>
      <c r="H9" s="71"/>
      <c r="I9" s="71"/>
      <c r="J9" s="80">
        <v>6.5000000000000002E-2</v>
      </c>
      <c r="K9" s="80"/>
      <c r="L9" s="80">
        <v>5.5E-2</v>
      </c>
      <c r="M9" s="80"/>
      <c r="N9" s="60"/>
    </row>
    <row r="10" spans="1:26" ht="48" customHeight="1" x14ac:dyDescent="0.3">
      <c r="A10" s="57" t="s">
        <v>20</v>
      </c>
      <c r="B10" s="74" t="s">
        <v>54</v>
      </c>
      <c r="C10" s="75"/>
      <c r="D10" s="75"/>
      <c r="E10" s="75"/>
      <c r="F10" s="75"/>
      <c r="G10" s="75"/>
      <c r="H10" s="75"/>
      <c r="I10" s="75"/>
      <c r="J10" s="72">
        <v>7.0000000000000007E-2</v>
      </c>
      <c r="K10" s="72"/>
      <c r="L10" s="73">
        <v>0.06</v>
      </c>
      <c r="M10" s="73"/>
      <c r="N10" s="59"/>
      <c r="O10" s="53"/>
      <c r="P10" s="53"/>
      <c r="Q10" s="53"/>
      <c r="R10" s="53"/>
      <c r="S10" s="53"/>
      <c r="T10" s="53"/>
      <c r="U10" s="53"/>
      <c r="V10" s="53"/>
      <c r="W10" s="53"/>
      <c r="X10" s="53"/>
      <c r="Y10" s="53"/>
      <c r="Z10" s="53"/>
    </row>
    <row r="11" spans="1:26" ht="48" customHeight="1" x14ac:dyDescent="0.3">
      <c r="A11" s="71" t="s">
        <v>56</v>
      </c>
      <c r="B11" s="71"/>
      <c r="C11" s="71"/>
      <c r="D11" s="71"/>
      <c r="E11" s="71"/>
      <c r="F11" s="71"/>
      <c r="G11" s="71"/>
      <c r="H11" s="71"/>
      <c r="I11" s="71"/>
      <c r="J11" s="71"/>
      <c r="K11" s="71"/>
      <c r="L11" s="71"/>
      <c r="M11" s="71"/>
      <c r="N11" s="60"/>
    </row>
    <row r="12" spans="1:26" ht="34.5" hidden="1" customHeight="1" x14ac:dyDescent="0.3">
      <c r="A12" s="57"/>
      <c r="B12" s="58"/>
      <c r="C12" s="59"/>
      <c r="D12" s="59"/>
      <c r="E12" s="59"/>
      <c r="F12" s="59"/>
      <c r="G12" s="59"/>
      <c r="H12" s="59"/>
      <c r="I12" s="59"/>
      <c r="J12" s="59"/>
      <c r="K12" s="59"/>
      <c r="L12" s="59"/>
      <c r="M12" s="59"/>
      <c r="N12" s="59"/>
      <c r="O12" s="53"/>
      <c r="P12" s="53"/>
      <c r="Q12" s="53"/>
      <c r="R12" s="53"/>
      <c r="S12" s="53"/>
      <c r="T12" s="53"/>
      <c r="U12" s="53"/>
      <c r="V12" s="53"/>
      <c r="W12" s="53"/>
      <c r="X12" s="53"/>
      <c r="Y12" s="53"/>
      <c r="Z12" s="53"/>
    </row>
  </sheetData>
  <sheetProtection algorithmName="SHA-512" hashValue="hH0/7coG5c3K3+LXQe6hDchahHe2s6k2x8cNMiN7w2fkYIAd0i9uZvkoWjFJju58UBVMgW95Dz40RdiANTy9Ag==" saltValue="E5B4B+rm2vGJcYAF7s+TGg==" spinCount="100000" sheet="1" objects="1" scenarios="1"/>
  <mergeCells count="20">
    <mergeCell ref="J9:K9"/>
    <mergeCell ref="L8:M8"/>
    <mergeCell ref="L9:M9"/>
    <mergeCell ref="B10:I10"/>
    <mergeCell ref="A11:M11"/>
    <mergeCell ref="J10:K10"/>
    <mergeCell ref="L10:M10"/>
    <mergeCell ref="A3:Z3"/>
    <mergeCell ref="B6:I6"/>
    <mergeCell ref="B7:I7"/>
    <mergeCell ref="B9:I9"/>
    <mergeCell ref="B8:I8"/>
    <mergeCell ref="J5:K5"/>
    <mergeCell ref="L5:M5"/>
    <mergeCell ref="B5:I5"/>
    <mergeCell ref="J6:K6"/>
    <mergeCell ref="J7:K7"/>
    <mergeCell ref="L6:M6"/>
    <mergeCell ref="L7:M7"/>
    <mergeCell ref="J8:K8"/>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80A2D-6D9F-4377-9A2B-CE991338D63C}">
  <dimension ref="A1:Z12"/>
  <sheetViews>
    <sheetView showGridLines="0" showRowColHeaders="0" workbookViewId="0">
      <selection activeCell="A4" sqref="A4"/>
    </sheetView>
  </sheetViews>
  <sheetFormatPr defaultColWidth="0" defaultRowHeight="15" zeroHeight="1" x14ac:dyDescent="0.3"/>
  <cols>
    <col min="1" max="1" width="21" bestFit="1" customWidth="1"/>
    <col min="2" max="26" width="8.88671875" customWidth="1"/>
    <col min="27" max="16384" width="8.88671875" hidden="1"/>
  </cols>
  <sheetData>
    <row r="1" spans="1:26" s="11" customFormat="1" ht="12.75" customHeight="1" x14ac:dyDescent="0.3">
      <c r="A1" s="44"/>
      <c r="B1" s="45"/>
      <c r="C1" s="44"/>
      <c r="D1" s="44"/>
      <c r="E1" s="44"/>
      <c r="F1" s="44"/>
      <c r="G1" s="44"/>
      <c r="H1" s="44"/>
      <c r="I1" s="44"/>
      <c r="J1" s="44"/>
      <c r="K1" s="44"/>
      <c r="L1" s="44"/>
      <c r="M1" s="44"/>
      <c r="N1" s="44"/>
      <c r="O1" s="44"/>
      <c r="P1" s="44"/>
      <c r="Q1" s="44"/>
      <c r="R1" s="44"/>
      <c r="S1" s="44"/>
      <c r="T1" s="44"/>
      <c r="U1" s="44"/>
      <c r="V1" s="44"/>
      <c r="W1" s="44"/>
      <c r="X1" s="44"/>
      <c r="Y1" s="44"/>
      <c r="Z1" s="44"/>
    </row>
    <row r="2" spans="1:26" s="11" customFormat="1" ht="12.75" customHeight="1" x14ac:dyDescent="0.3">
      <c r="A2" s="44"/>
      <c r="B2" s="44"/>
      <c r="C2" s="44"/>
      <c r="D2" s="44"/>
      <c r="E2" s="44"/>
      <c r="F2" s="44"/>
      <c r="G2" s="44"/>
      <c r="H2" s="44"/>
      <c r="I2" s="44"/>
      <c r="J2" s="44"/>
      <c r="K2" s="44"/>
      <c r="L2" s="44"/>
      <c r="M2" s="44"/>
      <c r="N2" s="44"/>
      <c r="O2" s="44"/>
      <c r="P2" s="44"/>
      <c r="Q2" s="44"/>
      <c r="R2" s="44"/>
      <c r="S2" s="44"/>
      <c r="T2" s="44"/>
      <c r="U2" s="44"/>
      <c r="V2" s="44"/>
      <c r="W2" s="44"/>
      <c r="X2" s="44"/>
      <c r="Y2" s="44"/>
      <c r="Z2" s="44"/>
    </row>
    <row r="3" spans="1:26" s="5" customFormat="1" ht="1.5" customHeight="1" x14ac:dyDescent="0.3">
      <c r="A3" s="68"/>
      <c r="B3" s="68"/>
      <c r="C3" s="68"/>
      <c r="D3" s="68"/>
      <c r="E3" s="68"/>
      <c r="F3" s="68"/>
      <c r="G3" s="68"/>
      <c r="H3" s="68"/>
      <c r="I3" s="68"/>
      <c r="J3" s="68"/>
      <c r="K3" s="68"/>
      <c r="L3" s="68"/>
      <c r="M3" s="68"/>
      <c r="N3" s="68"/>
      <c r="O3" s="68"/>
      <c r="P3" s="68"/>
      <c r="Q3" s="68"/>
      <c r="R3" s="68"/>
      <c r="S3" s="68"/>
      <c r="T3" s="68"/>
      <c r="U3" s="68"/>
      <c r="V3" s="68"/>
      <c r="W3" s="68"/>
      <c r="X3" s="68"/>
      <c r="Y3" s="68"/>
      <c r="Z3" s="68"/>
    </row>
    <row r="4" spans="1:26" s="53" customFormat="1" ht="18" customHeight="1" x14ac:dyDescent="0.3">
      <c r="A4" s="54" t="s">
        <v>41</v>
      </c>
      <c r="B4" s="55"/>
      <c r="C4" s="55"/>
      <c r="D4" s="55"/>
      <c r="E4" s="55"/>
      <c r="F4" s="55"/>
      <c r="G4" s="55"/>
      <c r="H4" s="55"/>
      <c r="I4" s="55"/>
      <c r="J4" s="55"/>
      <c r="K4" s="55"/>
      <c r="L4" s="55"/>
      <c r="M4" s="55"/>
      <c r="N4" s="55"/>
      <c r="O4" s="55"/>
      <c r="P4" s="55"/>
      <c r="Q4" s="55"/>
      <c r="R4" s="55"/>
      <c r="S4" s="55"/>
      <c r="T4" s="55"/>
      <c r="U4" s="55"/>
      <c r="V4" s="55"/>
      <c r="W4" s="55"/>
      <c r="X4" s="55"/>
      <c r="Y4" s="55"/>
      <c r="Z4" s="55"/>
    </row>
    <row r="5" spans="1:26" ht="34.5" customHeight="1" x14ac:dyDescent="0.3">
      <c r="A5" s="56" t="s">
        <v>40</v>
      </c>
      <c r="B5" s="76" t="s">
        <v>42</v>
      </c>
      <c r="C5" s="71"/>
      <c r="D5" s="71"/>
      <c r="E5" s="71"/>
      <c r="F5" s="71"/>
      <c r="G5" s="71"/>
      <c r="H5" s="71"/>
      <c r="I5" s="71"/>
      <c r="J5" s="71"/>
      <c r="K5" s="71"/>
      <c r="L5" s="71"/>
      <c r="M5" s="71"/>
      <c r="N5" s="71"/>
    </row>
    <row r="6" spans="1:26" ht="34.5" customHeight="1" x14ac:dyDescent="0.3">
      <c r="A6" s="57" t="s">
        <v>10</v>
      </c>
      <c r="B6" s="83" t="s">
        <v>48</v>
      </c>
      <c r="C6" s="84"/>
      <c r="D6" s="84"/>
      <c r="E6" s="84"/>
      <c r="F6" s="84"/>
      <c r="G6" s="84"/>
      <c r="H6" s="84"/>
      <c r="I6" s="84"/>
      <c r="J6" s="84"/>
      <c r="K6" s="84"/>
      <c r="L6" s="84"/>
      <c r="M6" s="84"/>
      <c r="N6" s="84"/>
      <c r="O6" s="53"/>
      <c r="P6" s="53"/>
      <c r="Q6" s="53"/>
      <c r="R6" s="53"/>
      <c r="S6" s="53"/>
      <c r="T6" s="53"/>
      <c r="U6" s="53"/>
      <c r="V6" s="53"/>
      <c r="W6" s="53"/>
      <c r="X6" s="53"/>
      <c r="Y6" s="53"/>
      <c r="Z6" s="53"/>
    </row>
    <row r="7" spans="1:26" ht="34.5" customHeight="1" x14ac:dyDescent="0.3">
      <c r="A7" s="56" t="s">
        <v>8</v>
      </c>
      <c r="B7" s="81" t="s">
        <v>43</v>
      </c>
      <c r="C7" s="82"/>
      <c r="D7" s="82"/>
      <c r="E7" s="82"/>
      <c r="F7" s="82"/>
      <c r="G7" s="82"/>
      <c r="H7" s="82"/>
      <c r="I7" s="82"/>
      <c r="J7" s="82"/>
      <c r="K7" s="82"/>
      <c r="L7" s="82"/>
      <c r="M7" s="82"/>
      <c r="N7" s="82"/>
    </row>
    <row r="8" spans="1:26" ht="34.5" customHeight="1" x14ac:dyDescent="0.3">
      <c r="A8" s="57" t="s">
        <v>12</v>
      </c>
      <c r="B8" s="83" t="s">
        <v>44</v>
      </c>
      <c r="C8" s="84"/>
      <c r="D8" s="84"/>
      <c r="E8" s="84"/>
      <c r="F8" s="84"/>
      <c r="G8" s="84"/>
      <c r="H8" s="84"/>
      <c r="I8" s="84"/>
      <c r="J8" s="84"/>
      <c r="K8" s="84"/>
      <c r="L8" s="84"/>
      <c r="M8" s="84"/>
      <c r="N8" s="84"/>
      <c r="O8" s="53"/>
      <c r="P8" s="53"/>
      <c r="Q8" s="53"/>
      <c r="R8" s="53"/>
      <c r="S8" s="53"/>
      <c r="T8" s="53"/>
      <c r="U8" s="53"/>
      <c r="V8" s="53"/>
      <c r="W8" s="53"/>
      <c r="X8" s="53"/>
      <c r="Y8" s="53"/>
      <c r="Z8" s="53"/>
    </row>
    <row r="9" spans="1:26" ht="34.5" customHeight="1" x14ac:dyDescent="0.3">
      <c r="A9" s="56" t="s">
        <v>11</v>
      </c>
      <c r="B9" s="81" t="s">
        <v>45</v>
      </c>
      <c r="C9" s="82"/>
      <c r="D9" s="82"/>
      <c r="E9" s="82"/>
      <c r="F9" s="82"/>
      <c r="G9" s="82"/>
      <c r="H9" s="82"/>
      <c r="I9" s="82"/>
      <c r="J9" s="82"/>
      <c r="K9" s="82"/>
      <c r="L9" s="82"/>
      <c r="M9" s="82"/>
      <c r="N9" s="82"/>
    </row>
    <row r="10" spans="1:26" ht="34.5" customHeight="1" x14ac:dyDescent="0.3">
      <c r="A10" s="57" t="s">
        <v>13</v>
      </c>
      <c r="B10" s="83" t="s">
        <v>46</v>
      </c>
      <c r="C10" s="84"/>
      <c r="D10" s="84"/>
      <c r="E10" s="84"/>
      <c r="F10" s="84"/>
      <c r="G10" s="84"/>
      <c r="H10" s="84"/>
      <c r="I10" s="84"/>
      <c r="J10" s="84"/>
      <c r="K10" s="84"/>
      <c r="L10" s="84"/>
      <c r="M10" s="84"/>
      <c r="N10" s="84"/>
      <c r="O10" s="53"/>
      <c r="P10" s="53"/>
      <c r="Q10" s="53"/>
      <c r="R10" s="53"/>
      <c r="S10" s="53"/>
      <c r="T10" s="53"/>
      <c r="U10" s="53"/>
      <c r="V10" s="53"/>
      <c r="W10" s="53"/>
      <c r="X10" s="53"/>
      <c r="Y10" s="53"/>
      <c r="Z10" s="53"/>
    </row>
    <row r="11" spans="1:26" ht="34.5" customHeight="1" x14ac:dyDescent="0.3">
      <c r="A11" s="56" t="s">
        <v>21</v>
      </c>
      <c r="B11" s="81" t="s">
        <v>47</v>
      </c>
      <c r="C11" s="82"/>
      <c r="D11" s="82"/>
      <c r="E11" s="82"/>
      <c r="F11" s="82"/>
      <c r="G11" s="82"/>
      <c r="H11" s="82"/>
      <c r="I11" s="82"/>
      <c r="J11" s="82"/>
      <c r="K11" s="82"/>
      <c r="L11" s="82"/>
      <c r="M11" s="82"/>
      <c r="N11" s="82"/>
    </row>
    <row r="12" spans="1:26" ht="34.5" customHeight="1" x14ac:dyDescent="0.3">
      <c r="A12" s="57" t="s">
        <v>34</v>
      </c>
      <c r="B12" s="83" t="s">
        <v>58</v>
      </c>
      <c r="C12" s="84"/>
      <c r="D12" s="84"/>
      <c r="E12" s="84"/>
      <c r="F12" s="84"/>
      <c r="G12" s="84"/>
      <c r="H12" s="84"/>
      <c r="I12" s="84"/>
      <c r="J12" s="84"/>
      <c r="K12" s="84"/>
      <c r="L12" s="84"/>
      <c r="M12" s="84"/>
      <c r="N12" s="84"/>
      <c r="O12" s="53"/>
      <c r="P12" s="53"/>
      <c r="Q12" s="53"/>
      <c r="R12" s="53"/>
      <c r="S12" s="53"/>
      <c r="T12" s="53"/>
      <c r="U12" s="53"/>
      <c r="V12" s="53"/>
      <c r="W12" s="53"/>
      <c r="X12" s="53"/>
      <c r="Y12" s="53"/>
      <c r="Z12" s="53"/>
    </row>
  </sheetData>
  <sheetProtection algorithmName="SHA-512" hashValue="pjncNaslpntvUhClUXoZF6mzAQEor6l+e3iGtuFFbiRw151rfUaM3xb6VupEqDmlO9Esq+Cru/88g8yjrQmdqw==" saltValue="aXkD2lxWmlGNcSzUsSSW1w==" spinCount="100000" sheet="1" objects="1" scenarios="1"/>
  <mergeCells count="9">
    <mergeCell ref="A3:Z3"/>
    <mergeCell ref="B11:N11"/>
    <mergeCell ref="B12:N12"/>
    <mergeCell ref="B5:N5"/>
    <mergeCell ref="B6:N6"/>
    <mergeCell ref="B7:N7"/>
    <mergeCell ref="B8:N8"/>
    <mergeCell ref="B9:N9"/>
    <mergeCell ref="B10:N10"/>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Gráfico</vt:lpstr>
      <vt:lpstr>Apoio</vt:lpstr>
      <vt:lpstr>Premissas</vt:lpstr>
      <vt:lpstr>Glossário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Luiz Evandro Valle</dc:creator>
  <cp:lastModifiedBy>Valter Isewaki</cp:lastModifiedBy>
  <dcterms:created xsi:type="dcterms:W3CDTF">2022-08-30T15:03:27Z</dcterms:created>
  <dcterms:modified xsi:type="dcterms:W3CDTF">2024-08-23T14:45:01Z</dcterms:modified>
</cp:coreProperties>
</file>